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ilson\Desktop\IFMT - Home Office 03.04.2021\Limpeza\Edital Pregão 32.2021\ANEXO IV - Planilhas de Custos Editáveis\"/>
    </mc:Choice>
  </mc:AlternateContent>
  <bookViews>
    <workbookView xWindow="0" yWindow="0" windowWidth="20490" windowHeight="7755" firstSheet="3" activeTab="4"/>
  </bookViews>
  <sheets>
    <sheet name="ENCARREGADO" sheetId="1" r:id="rId1"/>
    <sheet name="SERVENTE-NORMAL" sheetId="2" r:id="rId2"/>
    <sheet name="SERVENTE-INSALUBRIDADE-10%" sheetId="3" r:id="rId3"/>
    <sheet name="SERVENTE-INSALUBRIDADE-20%" sheetId="4" r:id="rId4"/>
    <sheet name="SERVENTE-INSALUBRIDADE-40%" sheetId="5" r:id="rId5"/>
    <sheet name="BDI" sheetId="6" r:id="rId6"/>
    <sheet name="EPI E UNIFORMES" sheetId="7" r:id="rId7"/>
    <sheet name="INSUMOS" sheetId="8" r:id="rId8"/>
    <sheet name="EQUIPAMENTOS" sheetId="9" r:id="rId9"/>
    <sheet name="PREÇO POR M²" sheetId="10" r:id="rId10"/>
  </sheets>
  <definedNames>
    <definedName name="____xlnm.Print_Area_2">#REF!</definedName>
    <definedName name="____xlnm.Print_Area_3">#REF!</definedName>
    <definedName name="___xlnm.Print_Area_2" localSheetId="7">#REF!</definedName>
    <definedName name="___xlnm.Print_Area_2">#REF!</definedName>
    <definedName name="___xlnm.Print_Area_3" localSheetId="7">#REF!</definedName>
    <definedName name="___xlnm.Print_Area_3">#REF!</definedName>
    <definedName name="__xlnm.Print_Area_2" localSheetId="7">#REF!</definedName>
    <definedName name="__xlnm.Print_Area_2">#REF!</definedName>
    <definedName name="__xlnm.Print_Area_3" localSheetId="7">#REF!</definedName>
    <definedName name="__xlnm.Print_Area_3">#REF!</definedName>
    <definedName name="Excel_BuiltIn_Print_Area_1">#REF!</definedName>
    <definedName name="Excel_BuiltIn_Print_Area_1_2">#REF!</definedName>
    <definedName name="Excel_BuiltIn_Print_Area_2">#REF!</definedName>
    <definedName name="Excel_BuiltIn_Print_Area_2_2">#REF!</definedName>
    <definedName name="Teste">#REF!</definedName>
  </definedNames>
  <calcPr calcId="152511"/>
  <extLst>
    <ext uri="GoogleSheetsCustomDataVersion1">
      <go:sheetsCustomData xmlns:go="http://customooxmlschemas.google.com/" r:id="rId14" roundtripDataSignature="AMtx7mj40TcLlncRjr/6wRn6MXj3mB4rDg=="/>
    </ext>
  </extLst>
</workbook>
</file>

<file path=xl/calcChain.xml><?xml version="1.0" encoding="utf-8"?>
<calcChain xmlns="http://schemas.openxmlformats.org/spreadsheetml/2006/main">
  <c r="M26" i="10" l="1"/>
  <c r="J26" i="10"/>
  <c r="H26" i="10"/>
  <c r="G26" i="10"/>
  <c r="M25" i="10"/>
  <c r="J25" i="10"/>
  <c r="G25" i="10"/>
  <c r="H25" i="10" s="1"/>
  <c r="M24" i="10"/>
  <c r="J24" i="10"/>
  <c r="H24" i="10"/>
  <c r="G24" i="10"/>
  <c r="M23" i="10"/>
  <c r="J23" i="10"/>
  <c r="H23" i="10"/>
  <c r="G23" i="10"/>
  <c r="M22" i="10"/>
  <c r="J22" i="10"/>
  <c r="H22" i="10"/>
  <c r="G22" i="10"/>
  <c r="M21" i="10"/>
  <c r="J21" i="10"/>
  <c r="G21" i="10"/>
  <c r="H21" i="10" s="1"/>
  <c r="M20" i="10"/>
  <c r="J20" i="10"/>
  <c r="H20" i="10"/>
  <c r="G20" i="10"/>
  <c r="M19" i="10"/>
  <c r="J19" i="10"/>
  <c r="G19" i="10"/>
  <c r="H19" i="10" s="1"/>
  <c r="M18" i="10"/>
  <c r="J18" i="10"/>
  <c r="H18" i="10"/>
  <c r="G18" i="10"/>
  <c r="M17" i="10"/>
  <c r="J17" i="10"/>
  <c r="G17" i="10"/>
  <c r="H17" i="10" s="1"/>
  <c r="M16" i="10"/>
  <c r="J16" i="10"/>
  <c r="H16" i="10"/>
  <c r="G16" i="10"/>
  <c r="M15" i="10"/>
  <c r="J15" i="10"/>
  <c r="H15" i="10"/>
  <c r="G15" i="10"/>
  <c r="M14" i="10"/>
  <c r="J14" i="10"/>
  <c r="H14" i="10"/>
  <c r="G14" i="10"/>
  <c r="M13" i="10"/>
  <c r="J13" i="10"/>
  <c r="G13" i="10"/>
  <c r="H13" i="10" s="1"/>
  <c r="M12" i="10"/>
  <c r="J12" i="10"/>
  <c r="H12" i="10"/>
  <c r="G12" i="10"/>
  <c r="M11" i="10"/>
  <c r="J11" i="10"/>
  <c r="G11" i="10"/>
  <c r="H11" i="10" s="1"/>
  <c r="F23" i="9"/>
  <c r="I23" i="9" s="1"/>
  <c r="E23" i="9"/>
  <c r="F22" i="9"/>
  <c r="I22" i="9" s="1"/>
  <c r="E22" i="9"/>
  <c r="I21" i="9"/>
  <c r="G21" i="9"/>
  <c r="J21" i="9" s="1"/>
  <c r="E21" i="9"/>
  <c r="F21" i="9" s="1"/>
  <c r="F20" i="9"/>
  <c r="G20" i="9" s="1"/>
  <c r="E20" i="9"/>
  <c r="F19" i="9"/>
  <c r="I19" i="9" s="1"/>
  <c r="E19" i="9"/>
  <c r="F18" i="9"/>
  <c r="I18" i="9" s="1"/>
  <c r="E18" i="9"/>
  <c r="I17" i="9"/>
  <c r="G17" i="9"/>
  <c r="J17" i="9" s="1"/>
  <c r="E17" i="9"/>
  <c r="F17" i="9" s="1"/>
  <c r="F16" i="9"/>
  <c r="G16" i="9" s="1"/>
  <c r="E16" i="9"/>
  <c r="F15" i="9"/>
  <c r="I15" i="9" s="1"/>
  <c r="E15" i="9"/>
  <c r="F14" i="9"/>
  <c r="I14" i="9" s="1"/>
  <c r="E14" i="9"/>
  <c r="I13" i="9"/>
  <c r="G13" i="9"/>
  <c r="J13" i="9" s="1"/>
  <c r="E13" i="9"/>
  <c r="F13" i="9" s="1"/>
  <c r="F12" i="9"/>
  <c r="G12" i="9" s="1"/>
  <c r="E12" i="9"/>
  <c r="F11" i="9"/>
  <c r="I11" i="9" s="1"/>
  <c r="E11" i="9"/>
  <c r="F10" i="9"/>
  <c r="I10" i="9" s="1"/>
  <c r="E10" i="9"/>
  <c r="I9" i="9"/>
  <c r="G9" i="9"/>
  <c r="J9" i="9" s="1"/>
  <c r="E9" i="9"/>
  <c r="F9" i="9" s="1"/>
  <c r="F8" i="9"/>
  <c r="G8" i="9" s="1"/>
  <c r="E8" i="9"/>
  <c r="F7" i="9"/>
  <c r="I7" i="9" s="1"/>
  <c r="E7" i="9"/>
  <c r="F6" i="9"/>
  <c r="I6" i="9" s="1"/>
  <c r="E6" i="9"/>
  <c r="I5" i="9"/>
  <c r="G5" i="9"/>
  <c r="J5" i="9" s="1"/>
  <c r="F5" i="9"/>
  <c r="E5" i="9"/>
  <c r="H77" i="8"/>
  <c r="F77" i="8"/>
  <c r="F76" i="8"/>
  <c r="H76" i="8" s="1"/>
  <c r="H75" i="8"/>
  <c r="F75" i="8"/>
  <c r="F74" i="8"/>
  <c r="H74" i="8" s="1"/>
  <c r="H73" i="8"/>
  <c r="F73" i="8"/>
  <c r="F72" i="8"/>
  <c r="H72" i="8" s="1"/>
  <c r="H71" i="8"/>
  <c r="F71" i="8"/>
  <c r="F70" i="8"/>
  <c r="H70" i="8" s="1"/>
  <c r="H69" i="8"/>
  <c r="F69" i="8"/>
  <c r="F68" i="8"/>
  <c r="H68" i="8" s="1"/>
  <c r="H67" i="8"/>
  <c r="F67" i="8"/>
  <c r="F66" i="8"/>
  <c r="H66" i="8" s="1"/>
  <c r="H65" i="8"/>
  <c r="G65" i="8"/>
  <c r="F65" i="8"/>
  <c r="G64" i="8"/>
  <c r="H64" i="8" s="1"/>
  <c r="F64" i="8"/>
  <c r="F63" i="8"/>
  <c r="H63" i="8" s="1"/>
  <c r="H62" i="8"/>
  <c r="F62" i="8"/>
  <c r="F61" i="8"/>
  <c r="H61" i="8" s="1"/>
  <c r="H60" i="8"/>
  <c r="F60" i="8"/>
  <c r="F59" i="8"/>
  <c r="H59" i="8" s="1"/>
  <c r="H58" i="8"/>
  <c r="F58" i="8"/>
  <c r="F57" i="8"/>
  <c r="H57" i="8" s="1"/>
  <c r="H56" i="8"/>
  <c r="F56" i="8"/>
  <c r="F55" i="8"/>
  <c r="H55" i="8" s="1"/>
  <c r="H54" i="8"/>
  <c r="F54" i="8"/>
  <c r="F53" i="8"/>
  <c r="H53" i="8" s="1"/>
  <c r="H52" i="8"/>
  <c r="F52" i="8"/>
  <c r="F51" i="8"/>
  <c r="H51" i="8" s="1"/>
  <c r="H50" i="8"/>
  <c r="F50" i="8"/>
  <c r="F45" i="8"/>
  <c r="H45" i="8" s="1"/>
  <c r="F44" i="8"/>
  <c r="H44" i="8" s="1"/>
  <c r="F43" i="8"/>
  <c r="H43" i="8" s="1"/>
  <c r="F42" i="8"/>
  <c r="H42" i="8" s="1"/>
  <c r="F41" i="8"/>
  <c r="H41" i="8" s="1"/>
  <c r="F40" i="8"/>
  <c r="H40" i="8" s="1"/>
  <c r="H39" i="8"/>
  <c r="F39" i="8"/>
  <c r="F38" i="8"/>
  <c r="H38" i="8" s="1"/>
  <c r="F37" i="8"/>
  <c r="H37" i="8" s="1"/>
  <c r="F36" i="8"/>
  <c r="H36" i="8" s="1"/>
  <c r="F35" i="8"/>
  <c r="H35" i="8" s="1"/>
  <c r="F34" i="8"/>
  <c r="H34" i="8" s="1"/>
  <c r="F33" i="8"/>
  <c r="H33" i="8" s="1"/>
  <c r="F32" i="8"/>
  <c r="H32" i="8" s="1"/>
  <c r="H31" i="8"/>
  <c r="F31" i="8"/>
  <c r="E31" i="8"/>
  <c r="F30" i="8"/>
  <c r="H30" i="8" s="1"/>
  <c r="H29" i="8"/>
  <c r="F29" i="8"/>
  <c r="F28" i="8"/>
  <c r="H28" i="8" s="1"/>
  <c r="H27" i="8"/>
  <c r="F27" i="8"/>
  <c r="F26" i="8"/>
  <c r="H26" i="8" s="1"/>
  <c r="H25" i="8"/>
  <c r="F25" i="8"/>
  <c r="F24" i="8"/>
  <c r="H24" i="8" s="1"/>
  <c r="H23" i="8"/>
  <c r="F23" i="8"/>
  <c r="F22" i="8"/>
  <c r="H22" i="8" s="1"/>
  <c r="H21" i="8"/>
  <c r="F21" i="8"/>
  <c r="F20" i="8"/>
  <c r="H20" i="8" s="1"/>
  <c r="H19" i="8"/>
  <c r="F19" i="8"/>
  <c r="F18" i="8"/>
  <c r="H18" i="8" s="1"/>
  <c r="H17" i="8"/>
  <c r="F17" i="8"/>
  <c r="F16" i="8"/>
  <c r="H16" i="8" s="1"/>
  <c r="H15" i="8"/>
  <c r="F15" i="8"/>
  <c r="F14" i="8"/>
  <c r="H14" i="8" s="1"/>
  <c r="H13" i="8"/>
  <c r="F13" i="8"/>
  <c r="F12" i="8"/>
  <c r="H12" i="8" s="1"/>
  <c r="H11" i="8"/>
  <c r="F11" i="8"/>
  <c r="F10" i="8"/>
  <c r="H10" i="8" s="1"/>
  <c r="H9" i="8"/>
  <c r="F9" i="8"/>
  <c r="F8" i="8"/>
  <c r="H8" i="8" s="1"/>
  <c r="H7" i="8"/>
  <c r="F7" i="8"/>
  <c r="F6" i="8"/>
  <c r="H6" i="8" s="1"/>
  <c r="E40" i="7"/>
  <c r="F40" i="7" s="1"/>
  <c r="E39" i="7"/>
  <c r="F39" i="7" s="1"/>
  <c r="E38" i="7"/>
  <c r="F38" i="7" s="1"/>
  <c r="E37" i="7"/>
  <c r="F37" i="7" s="1"/>
  <c r="E30" i="7"/>
  <c r="F30" i="7" s="1"/>
  <c r="F29" i="7"/>
  <c r="E29" i="7"/>
  <c r="E28" i="7"/>
  <c r="F28" i="7" s="1"/>
  <c r="F27" i="7"/>
  <c r="E27" i="7"/>
  <c r="F19" i="7"/>
  <c r="F18" i="7"/>
  <c r="F17" i="7"/>
  <c r="F16" i="7"/>
  <c r="F20" i="7" s="1"/>
  <c r="F21" i="7" s="1"/>
  <c r="F22" i="7" s="1"/>
  <c r="F9" i="7"/>
  <c r="F8" i="7"/>
  <c r="F7" i="7"/>
  <c r="F6" i="7"/>
  <c r="F10" i="7" s="1"/>
  <c r="F11" i="7" s="1"/>
  <c r="F12" i="7" s="1"/>
  <c r="H6" i="6"/>
  <c r="C131" i="4" s="1"/>
  <c r="H5" i="6"/>
  <c r="C131" i="5"/>
  <c r="C129" i="5"/>
  <c r="D115" i="5"/>
  <c r="D110" i="5"/>
  <c r="D102" i="5"/>
  <c r="D103" i="5" s="1"/>
  <c r="D69" i="5"/>
  <c r="D66" i="5"/>
  <c r="D65" i="5"/>
  <c r="C61" i="5"/>
  <c r="D59" i="5"/>
  <c r="D53" i="5"/>
  <c r="D45" i="5"/>
  <c r="D39" i="5"/>
  <c r="D56" i="5" s="1"/>
  <c r="D32" i="5"/>
  <c r="D25" i="5"/>
  <c r="D22" i="5"/>
  <c r="C129" i="4"/>
  <c r="D110" i="4"/>
  <c r="D115" i="4" s="1"/>
  <c r="D69" i="4"/>
  <c r="D66" i="4"/>
  <c r="D65" i="4"/>
  <c r="D72" i="4" s="1"/>
  <c r="D78" i="4" s="1"/>
  <c r="C61" i="4"/>
  <c r="D32" i="4"/>
  <c r="D39" i="4" s="1"/>
  <c r="D25" i="4"/>
  <c r="D22" i="4"/>
  <c r="C131" i="3"/>
  <c r="C129" i="3"/>
  <c r="D115" i="3"/>
  <c r="D110" i="3"/>
  <c r="D69" i="3"/>
  <c r="D66" i="3"/>
  <c r="D65" i="3"/>
  <c r="D72" i="3" s="1"/>
  <c r="D78" i="3" s="1"/>
  <c r="C61" i="3"/>
  <c r="D32" i="3"/>
  <c r="D39" i="3" s="1"/>
  <c r="D25" i="3"/>
  <c r="D22" i="3"/>
  <c r="C131" i="2"/>
  <c r="C129" i="2"/>
  <c r="D121" i="2"/>
  <c r="D120" i="2"/>
  <c r="D110" i="2"/>
  <c r="D115" i="2" s="1"/>
  <c r="D69" i="2"/>
  <c r="D66" i="2"/>
  <c r="D65" i="2"/>
  <c r="D72" i="2" s="1"/>
  <c r="D78" i="2" s="1"/>
  <c r="C61" i="2"/>
  <c r="D39" i="2"/>
  <c r="D104" i="2" s="1"/>
  <c r="D25" i="2"/>
  <c r="D22" i="2"/>
  <c r="C131" i="1"/>
  <c r="C129" i="1"/>
  <c r="D110" i="1"/>
  <c r="D115" i="1" s="1"/>
  <c r="D69" i="1"/>
  <c r="D66" i="1"/>
  <c r="C61" i="1"/>
  <c r="D30" i="1"/>
  <c r="D65" i="1" s="1"/>
  <c r="D72" i="1" s="1"/>
  <c r="D78" i="1" s="1"/>
  <c r="D25" i="1"/>
  <c r="D22" i="1"/>
  <c r="D145" i="3" l="1"/>
  <c r="D86" i="3"/>
  <c r="D87" i="3" s="1"/>
  <c r="D58" i="3"/>
  <c r="D54" i="3"/>
  <c r="D102" i="3"/>
  <c r="D103" i="3" s="1"/>
  <c r="D57" i="3"/>
  <c r="D53" i="3"/>
  <c r="D46" i="3"/>
  <c r="D55" i="3"/>
  <c r="D45" i="3"/>
  <c r="D60" i="3"/>
  <c r="D104" i="3"/>
  <c r="D83" i="3"/>
  <c r="D59" i="3"/>
  <c r="D56" i="3"/>
  <c r="D55" i="2"/>
  <c r="D59" i="2"/>
  <c r="J12" i="9"/>
  <c r="D45" i="2"/>
  <c r="D83" i="2" s="1"/>
  <c r="D56" i="2"/>
  <c r="D60" i="2"/>
  <c r="D102" i="2"/>
  <c r="D103" i="2" s="1"/>
  <c r="D145" i="2"/>
  <c r="D120" i="4"/>
  <c r="D120" i="5"/>
  <c r="D120" i="3"/>
  <c r="D121" i="5"/>
  <c r="D121" i="4"/>
  <c r="D121" i="3"/>
  <c r="D46" i="2"/>
  <c r="D53" i="2"/>
  <c r="D57" i="2"/>
  <c r="H27" i="10"/>
  <c r="O3" i="10" s="1"/>
  <c r="D39" i="1"/>
  <c r="D54" i="2"/>
  <c r="D58" i="2"/>
  <c r="D86" i="2"/>
  <c r="D87" i="2" s="1"/>
  <c r="D93" i="2"/>
  <c r="D60" i="4"/>
  <c r="D58" i="4"/>
  <c r="D54" i="4"/>
  <c r="D104" i="4"/>
  <c r="D83" i="4"/>
  <c r="D57" i="4"/>
  <c r="D53" i="4"/>
  <c r="D46" i="4"/>
  <c r="D56" i="4"/>
  <c r="D45" i="4"/>
  <c r="D93" i="4" s="1"/>
  <c r="D145" i="4"/>
  <c r="D102" i="4"/>
  <c r="D103" i="4" s="1"/>
  <c r="D86" i="4"/>
  <c r="D87" i="4" s="1"/>
  <c r="D59" i="4"/>
  <c r="D55" i="4"/>
  <c r="F41" i="7"/>
  <c r="F42" i="7" s="1"/>
  <c r="F43" i="7" s="1"/>
  <c r="D121" i="1" s="1"/>
  <c r="H46" i="8"/>
  <c r="H79" i="8" s="1"/>
  <c r="H80" i="8" s="1"/>
  <c r="H81" i="8" s="1"/>
  <c r="H82" i="8" s="1"/>
  <c r="H78" i="8"/>
  <c r="O4" i="10"/>
  <c r="D145" i="5"/>
  <c r="D86" i="5"/>
  <c r="D87" i="5" s="1"/>
  <c r="D58" i="5"/>
  <c r="D54" i="5"/>
  <c r="D61" i="5" s="1"/>
  <c r="D77" i="5" s="1"/>
  <c r="D57" i="5"/>
  <c r="D72" i="5"/>
  <c r="D78" i="5" s="1"/>
  <c r="F31" i="7"/>
  <c r="F32" i="7" s="1"/>
  <c r="F33" i="7" s="1"/>
  <c r="D120" i="1" s="1"/>
  <c r="G6" i="9"/>
  <c r="J6" i="9" s="1"/>
  <c r="G7" i="9"/>
  <c r="J7" i="9" s="1"/>
  <c r="I8" i="9"/>
  <c r="J8" i="9" s="1"/>
  <c r="G10" i="9"/>
  <c r="J10" i="9" s="1"/>
  <c r="G11" i="9"/>
  <c r="J11" i="9" s="1"/>
  <c r="I12" i="9"/>
  <c r="G14" i="9"/>
  <c r="J14" i="9" s="1"/>
  <c r="G15" i="9"/>
  <c r="J15" i="9" s="1"/>
  <c r="I16" i="9"/>
  <c r="J16" i="9" s="1"/>
  <c r="G18" i="9"/>
  <c r="J18" i="9" s="1"/>
  <c r="G19" i="9"/>
  <c r="J19" i="9" s="1"/>
  <c r="I20" i="9"/>
  <c r="J20" i="9" s="1"/>
  <c r="G22" i="9"/>
  <c r="J22" i="9" s="1"/>
  <c r="G23" i="9"/>
  <c r="J23" i="9" s="1"/>
  <c r="D46" i="5"/>
  <c r="D93" i="5" s="1"/>
  <c r="D55" i="5"/>
  <c r="D60" i="5"/>
  <c r="D83" i="5"/>
  <c r="D104" i="5"/>
  <c r="D84" i="2" l="1"/>
  <c r="D97" i="4"/>
  <c r="D100" i="4"/>
  <c r="D99" i="4"/>
  <c r="D98" i="4"/>
  <c r="D96" i="4"/>
  <c r="D99" i="5"/>
  <c r="D98" i="5"/>
  <c r="D97" i="5"/>
  <c r="D96" i="5"/>
  <c r="D100" i="5"/>
  <c r="J24" i="9"/>
  <c r="D84" i="3"/>
  <c r="D48" i="5"/>
  <c r="D61" i="2"/>
  <c r="D77" i="2" s="1"/>
  <c r="D93" i="3"/>
  <c r="D84" i="4"/>
  <c r="D100" i="2"/>
  <c r="D99" i="2"/>
  <c r="D98" i="2"/>
  <c r="D97" i="2"/>
  <c r="D96" i="2"/>
  <c r="D104" i="1"/>
  <c r="D59" i="1"/>
  <c r="D55" i="1"/>
  <c r="D145" i="1"/>
  <c r="D86" i="1"/>
  <c r="D87" i="1" s="1"/>
  <c r="D58" i="1"/>
  <c r="D54" i="1"/>
  <c r="D102" i="1"/>
  <c r="D103" i="1" s="1"/>
  <c r="D57" i="1"/>
  <c r="D53" i="1"/>
  <c r="D61" i="1" s="1"/>
  <c r="D77" i="1" s="1"/>
  <c r="D46" i="1"/>
  <c r="D60" i="1"/>
  <c r="D56" i="1"/>
  <c r="D45" i="1"/>
  <c r="D47" i="5"/>
  <c r="D49" i="5" s="1"/>
  <c r="D76" i="5" s="1"/>
  <c r="D79" i="5" s="1"/>
  <c r="D146" i="5" s="1"/>
  <c r="D61" i="4"/>
  <c r="D77" i="4" s="1"/>
  <c r="D61" i="3"/>
  <c r="D77" i="3" s="1"/>
  <c r="D84" i="5"/>
  <c r="D122" i="5"/>
  <c r="D122" i="4"/>
  <c r="D122" i="2"/>
  <c r="D122" i="1"/>
  <c r="D122" i="3"/>
  <c r="D48" i="4"/>
  <c r="D47" i="4"/>
  <c r="D88" i="4"/>
  <c r="D47" i="2"/>
  <c r="D48" i="2"/>
  <c r="D48" i="3"/>
  <c r="D47" i="3"/>
  <c r="D49" i="4" l="1"/>
  <c r="D76" i="4" s="1"/>
  <c r="D79" i="4" s="1"/>
  <c r="D146" i="4" s="1"/>
  <c r="D101" i="2"/>
  <c r="D105" i="2" s="1"/>
  <c r="D114" i="2" s="1"/>
  <c r="D116" i="2" s="1"/>
  <c r="D148" i="2" s="1"/>
  <c r="D85" i="2"/>
  <c r="D89" i="2" s="1"/>
  <c r="D147" i="2" s="1"/>
  <c r="D88" i="2"/>
  <c r="D101" i="5"/>
  <c r="D105" i="5"/>
  <c r="D114" i="5" s="1"/>
  <c r="D116" i="5" s="1"/>
  <c r="D148" i="5" s="1"/>
  <c r="D88" i="5"/>
  <c r="D85" i="5"/>
  <c r="D89" i="5" s="1"/>
  <c r="D147" i="5" s="1"/>
  <c r="D101" i="4"/>
  <c r="D105" i="4" s="1"/>
  <c r="D114" i="4" s="1"/>
  <c r="D116" i="4" s="1"/>
  <c r="D148" i="4" s="1"/>
  <c r="D85" i="4"/>
  <c r="D89" i="4" s="1"/>
  <c r="D147" i="4" s="1"/>
  <c r="J26" i="9"/>
  <c r="J25" i="9"/>
  <c r="D99" i="3"/>
  <c r="D98" i="3"/>
  <c r="D100" i="3"/>
  <c r="D97" i="3"/>
  <c r="D96" i="3"/>
  <c r="D49" i="2"/>
  <c r="D76" i="2" s="1"/>
  <c r="D79" i="2" s="1"/>
  <c r="D146" i="2" s="1"/>
  <c r="D49" i="3"/>
  <c r="D76" i="3" s="1"/>
  <c r="D79" i="3" s="1"/>
  <c r="D146" i="3" s="1"/>
  <c r="D48" i="1"/>
  <c r="D47" i="1"/>
  <c r="D49" i="1" s="1"/>
  <c r="D76" i="1" s="1"/>
  <c r="D79" i="1" s="1"/>
  <c r="D146" i="1" s="1"/>
  <c r="D93" i="1"/>
  <c r="D83" i="1"/>
  <c r="D150" i="5" l="1"/>
  <c r="D84" i="1"/>
  <c r="D123" i="4"/>
  <c r="D125" i="4" s="1"/>
  <c r="D149" i="4" s="1"/>
  <c r="J27" i="9"/>
  <c r="D123" i="5"/>
  <c r="D125" i="5" s="1"/>
  <c r="D149" i="5" s="1"/>
  <c r="D123" i="3"/>
  <c r="D125" i="3" s="1"/>
  <c r="D149" i="3" s="1"/>
  <c r="D123" i="2"/>
  <c r="D125" i="2" s="1"/>
  <c r="D149" i="2" s="1"/>
  <c r="D150" i="2" s="1"/>
  <c r="D123" i="1"/>
  <c r="D125" i="1" s="1"/>
  <c r="D149" i="1" s="1"/>
  <c r="D101" i="3"/>
  <c r="D105" i="3" s="1"/>
  <c r="D114" i="3" s="1"/>
  <c r="D116" i="3" s="1"/>
  <c r="D148" i="3" s="1"/>
  <c r="D85" i="3"/>
  <c r="D89" i="3" s="1"/>
  <c r="D147" i="3" s="1"/>
  <c r="D150" i="3" s="1"/>
  <c r="D88" i="3"/>
  <c r="D100" i="1"/>
  <c r="D96" i="1"/>
  <c r="D99" i="1"/>
  <c r="D98" i="1"/>
  <c r="D97" i="1"/>
  <c r="D150" i="4"/>
  <c r="D131" i="3" l="1"/>
  <c r="D129" i="3"/>
  <c r="D129" i="2"/>
  <c r="D131" i="2"/>
  <c r="D129" i="4"/>
  <c r="D131" i="4"/>
  <c r="D101" i="1"/>
  <c r="D105" i="1" s="1"/>
  <c r="D114" i="1" s="1"/>
  <c r="D116" i="1" s="1"/>
  <c r="D148" i="1" s="1"/>
  <c r="D85" i="1"/>
  <c r="D89" i="1" s="1"/>
  <c r="D147" i="1" s="1"/>
  <c r="D150" i="1" s="1"/>
  <c r="D88" i="1"/>
  <c r="D129" i="5"/>
  <c r="D129" i="1" l="1"/>
  <c r="D131" i="1"/>
  <c r="D131" i="5"/>
  <c r="D139" i="5" s="1"/>
  <c r="D137" i="2"/>
  <c r="D139" i="2"/>
  <c r="D136" i="2"/>
  <c r="D141" i="2" s="1"/>
  <c r="D151" i="2" s="1"/>
  <c r="D153" i="2" s="1"/>
  <c r="D139" i="4"/>
  <c r="D137" i="4"/>
  <c r="D136" i="4"/>
  <c r="D141" i="4" s="1"/>
  <c r="D151" i="4" s="1"/>
  <c r="D153" i="4" s="1"/>
  <c r="D136" i="3"/>
  <c r="D141" i="3" s="1"/>
  <c r="D151" i="3" s="1"/>
  <c r="D153" i="3" s="1"/>
  <c r="D137" i="3"/>
  <c r="D139" i="3"/>
  <c r="I19" i="10" l="1"/>
  <c r="K19" i="10" s="1"/>
  <c r="I24" i="10"/>
  <c r="K24" i="10" s="1"/>
  <c r="I23" i="10"/>
  <c r="K23" i="10" s="1"/>
  <c r="I17" i="10"/>
  <c r="K17" i="10" s="1"/>
  <c r="I15" i="10"/>
  <c r="K15" i="10" s="1"/>
  <c r="I13" i="10"/>
  <c r="K13" i="10" s="1"/>
  <c r="I11" i="10"/>
  <c r="K11" i="10" s="1"/>
  <c r="I16" i="10"/>
  <c r="K16" i="10" s="1"/>
  <c r="I22" i="10"/>
  <c r="K22" i="10" s="1"/>
  <c r="I14" i="10"/>
  <c r="K14" i="10" s="1"/>
  <c r="I12" i="10"/>
  <c r="K12" i="10" s="1"/>
  <c r="I18" i="10"/>
  <c r="K18" i="10" s="1"/>
  <c r="I25" i="10"/>
  <c r="K25" i="10" s="1"/>
  <c r="I20" i="10"/>
  <c r="K20" i="10" s="1"/>
  <c r="D136" i="5"/>
  <c r="D137" i="5"/>
  <c r="D137" i="1"/>
  <c r="D141" i="1" s="1"/>
  <c r="D151" i="1" s="1"/>
  <c r="D153" i="1" s="1"/>
  <c r="D136" i="1"/>
  <c r="D139" i="1"/>
  <c r="L21" i="10" l="1"/>
  <c r="N21" i="10" s="1"/>
  <c r="L20" i="10"/>
  <c r="N20" i="10" s="1"/>
  <c r="L13" i="10"/>
  <c r="N13" i="10" s="1"/>
  <c r="L12" i="10"/>
  <c r="N12" i="10" s="1"/>
  <c r="L26" i="10"/>
  <c r="N26" i="10" s="1"/>
  <c r="L19" i="10"/>
  <c r="N19" i="10" s="1"/>
  <c r="L18" i="10"/>
  <c r="N18" i="10" s="1"/>
  <c r="L11" i="10"/>
  <c r="N11" i="10" s="1"/>
  <c r="L25" i="10"/>
  <c r="N25" i="10" s="1"/>
  <c r="L24" i="10"/>
  <c r="N24" i="10" s="1"/>
  <c r="L17" i="10"/>
  <c r="N17" i="10" s="1"/>
  <c r="O17" i="10" s="1"/>
  <c r="P17" i="10" s="1"/>
  <c r="L16" i="10"/>
  <c r="N16" i="10" s="1"/>
  <c r="L23" i="10"/>
  <c r="N23" i="10" s="1"/>
  <c r="L22" i="10"/>
  <c r="N22" i="10" s="1"/>
  <c r="L15" i="10"/>
  <c r="N15" i="10" s="1"/>
  <c r="L14" i="10"/>
  <c r="N14" i="10" s="1"/>
  <c r="D141" i="5"/>
  <c r="D151" i="5" s="1"/>
  <c r="D153" i="5" s="1"/>
  <c r="O12" i="10"/>
  <c r="P12" i="10" s="1"/>
  <c r="O11" i="10"/>
  <c r="P11" i="10" s="1"/>
  <c r="O23" i="10"/>
  <c r="P23" i="10" s="1"/>
  <c r="O25" i="10"/>
  <c r="P25" i="10" s="1"/>
  <c r="O18" i="10"/>
  <c r="P18" i="10" s="1"/>
  <c r="O16" i="10"/>
  <c r="P16" i="10" s="1"/>
  <c r="O20" i="10"/>
  <c r="P20" i="10" s="1"/>
  <c r="O14" i="10"/>
  <c r="P14" i="10" s="1"/>
  <c r="O13" i="10"/>
  <c r="P13" i="10" s="1"/>
  <c r="O24" i="10"/>
  <c r="P24" i="10" s="1"/>
  <c r="O22" i="10"/>
  <c r="P22" i="10" s="1"/>
  <c r="O15" i="10"/>
  <c r="P15" i="10" s="1"/>
  <c r="O19" i="10"/>
  <c r="P19" i="10" s="1"/>
  <c r="I21" i="10" l="1"/>
  <c r="K21" i="10" s="1"/>
  <c r="O21" i="10" s="1"/>
  <c r="P21" i="10" s="1"/>
  <c r="P27" i="10" s="1"/>
  <c r="O5" i="10" s="1"/>
  <c r="O6" i="10" s="1"/>
  <c r="I26" i="10"/>
  <c r="K26" i="10" s="1"/>
  <c r="O26" i="10" s="1"/>
  <c r="P26" i="10" s="1"/>
</calcChain>
</file>

<file path=xl/comments1.xml><?xml version="1.0" encoding="utf-8"?>
<comments xmlns="http://schemas.openxmlformats.org/spreadsheetml/2006/main">
  <authors>
    <author/>
  </authors>
  <commentList>
    <comment ref="D24" authorId="0" shapeId="0">
      <text>
        <r>
          <rPr>
            <sz val="10"/>
            <color rgb="FF000000"/>
            <rFont val="Arial"/>
          </rPr>
          <t>FAIXA ESPECIAL VI - CCT 2021
======</t>
        </r>
      </text>
    </comment>
    <comment ref="D55" authorId="0" shapeId="0">
      <text>
        <r>
          <rPr>
            <sz val="10"/>
            <color rgb="FF000000"/>
            <rFont val="Arial"/>
          </rPr>
          <t>RAT x FAP. 
1) RAT = 3% (Limpeza em prédios e em domicílios - código 8121-4/00 do Anexo V do Decreto n.º 3.048/1999). 
2) FAP = Máximo de Fator de Acidente Previdenciário = 2:
3% x 2 = 6% (maior valor possível)
A empresa deve utilizar o seu FAP efetivo, a ser comprovado no envio de sua proposta adequada ao lance vencedor, mediante apresentação da GFIP ou outro documento apto a fazê-lo.
======</t>
        </r>
      </text>
    </comment>
    <comment ref="D65" authorId="0" shapeId="0">
      <text>
        <r>
          <rPr>
            <sz val="10"/>
            <color rgb="FF000000"/>
            <rFont val="Arial"/>
          </rPr>
          <t>(R$ 4,10 (passagem) * 2/dia * Qtde dias trabalhados/mês) - (Salario Base * 6%)
======</t>
        </r>
      </text>
    </commen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 ref="D69" authorId="0" shapeId="0">
      <text>
        <r>
          <rPr>
            <sz val="10"/>
            <color rgb="FF000000"/>
            <rFont val="Arial"/>
          </rPr>
          <t>Cláusula 51ª da CCT - pg. 28/29
======</t>
        </r>
      </text>
    </comment>
  </commentList>
</comments>
</file>

<file path=xl/comments2.xml><?xml version="1.0" encoding="utf-8"?>
<comments xmlns="http://schemas.openxmlformats.org/spreadsheetml/2006/main">
  <authors>
    <author/>
  </authors>
  <commentList>
    <comment ref="D24" authorId="0" shapeId="0">
      <text>
        <r>
          <rPr>
            <sz val="10"/>
            <color rgb="FF000000"/>
            <rFont val="Arial"/>
          </rPr>
          <t>1º FAIXA SALARIAL - CCT 2021
======</t>
        </r>
      </text>
    </comment>
    <comment ref="D30" authorId="0" shapeId="0">
      <text>
        <r>
          <rPr>
            <sz val="10"/>
            <color rgb="FF000000"/>
            <rFont val="Arial"/>
          </rPr>
          <t>1º FAIXA SALARIAL - CCT 2021
======</t>
        </r>
      </text>
    </comment>
    <comment ref="D37" authorId="0" shapeId="0">
      <text>
        <r>
          <rPr>
            <sz val="10"/>
            <color rgb="FF000000"/>
            <rFont val="Arial"/>
          </rPr>
          <t>1º FAIXA SALARIAL - CCT 2021
======</t>
        </r>
      </text>
    </comment>
    <comment ref="D55" authorId="0" shapeId="0">
      <text>
        <r>
          <rPr>
            <sz val="10"/>
            <color rgb="FF000000"/>
            <rFont val="Arial"/>
          </rPr>
          <t>RAT x FAP.
1) RAT = 3% (Limpeza em prédios e em domicílios - código 8121-4/00 do Anexo V do Decreto n.º 3.048/1999).
2) FAP = Máximo de Fator de Acidente Previdenciário = 2:
3% x 2 = 6% (maior valor possível)
A empresa deve utilizar o seu FAP efetivo, a ser comprovado no envio de sua proposta adequada ao lance vencedor, mediante apresentação da GFIP ou outro documento apto a fazê-lo.
======</t>
        </r>
      </text>
    </commen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 ref="D70" authorId="0" shapeId="0">
      <text>
        <r>
          <rPr>
            <sz val="10"/>
            <color rgb="FF000000"/>
            <rFont val="Arial"/>
          </rPr>
          <t>Cláusula 9ª da CCT - pg. 11
======</t>
        </r>
      </text>
    </comment>
    <comment ref="D86" authorId="0" shapeId="0">
      <text>
        <r>
          <rPr>
            <sz val="10"/>
            <color rgb="FF000000"/>
            <rFont val="Arial"/>
          </rPr>
          <t>{[(7/30)/12]x100} = 1,944%
7 dias de folga / 30 dias / 12 meses (vigência inicial do contrato) = provisão mensal para esse item de custo * remuneração mensal
======</t>
        </r>
      </text>
    </comment>
    <comment ref="D120" authorId="0" shapeId="0">
      <text>
        <r>
          <rPr>
            <sz val="10"/>
            <color rgb="FF000000"/>
            <rFont val="Arial"/>
          </rPr>
          <t>Referência: Custo Mensal de Uniformes (vide planilha específica).
======</t>
        </r>
      </text>
    </comment>
    <comment ref="D122" authorId="0" shapeId="0">
      <text>
        <r>
          <rPr>
            <sz val="10"/>
            <color rgb="FF000000"/>
            <rFont val="Arial"/>
          </rPr>
          <t>Referência: Custo Mensal de Materiais de Consumo e Utensílios (vide planilha específica).
======</t>
        </r>
      </text>
    </comment>
    <comment ref="D123" authorId="0" shapeId="0">
      <text>
        <r>
          <rPr>
            <sz val="10"/>
            <color rgb="FF000000"/>
            <rFont val="Arial"/>
          </rPr>
          <t>Referência: Custo Mensal da depreciação e manutenção de Equipamentos e Ferramentas (vide planilha específica).
======</t>
        </r>
      </text>
    </comment>
    <comment ref="D129" authorId="0" shapeId="0">
      <text>
        <r>
          <rPr>
            <sz val="10"/>
            <color rgb="FF000000"/>
            <rFont val="Arial"/>
          </rPr>
          <t>Referência: Custos Indiretos e Lucro (vide planilha específica).
======</t>
        </r>
      </text>
    </comment>
    <comment ref="D131" authorId="0" shapeId="0">
      <text>
        <r>
          <rPr>
            <sz val="10"/>
            <color rgb="FF000000"/>
            <rFont val="Arial"/>
          </rPr>
          <t>Referência: Custos Indiretos e Lucro (vide planilha específica).
======</t>
        </r>
      </text>
    </comment>
    <comment ref="B133" authorId="0" shapeId="0">
      <text>
        <r>
          <rPr>
            <sz val="10"/>
            <color rgb="FF000000"/>
            <rFont val="Arial"/>
          </rPr>
          <t>Referência: Os tributos (COFINS e PIS) foram definidos utilizando o regime de tributação de LUCRO REAL.
======</t>
        </r>
      </text>
    </comment>
    <comment ref="D139" authorId="0" shapeId="0">
      <text>
        <r>
          <rPr>
            <sz val="10"/>
            <color rgb="FF000000"/>
            <rFont val="Arial"/>
          </rPr>
          <t>Valor do ISS praticado no Município onde será prestado o serviço.
======</t>
        </r>
      </text>
    </comment>
  </commentList>
</comments>
</file>

<file path=xl/comments3.xml><?xml version="1.0" encoding="utf-8"?>
<comments xmlns="http://schemas.openxmlformats.org/spreadsheetml/2006/main">
  <authors>
    <author/>
  </authors>
  <commentLis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List>
</comments>
</file>

<file path=xl/comments4.xml><?xml version="1.0" encoding="utf-8"?>
<comments xmlns="http://schemas.openxmlformats.org/spreadsheetml/2006/main">
  <authors>
    <author/>
  </authors>
  <commentLis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List>
</comments>
</file>

<file path=xl/comments5.xml><?xml version="1.0" encoding="utf-8"?>
<comments xmlns="http://schemas.openxmlformats.org/spreadsheetml/2006/main">
  <authors>
    <author/>
  </authors>
  <commentList>
    <comment ref="D66" authorId="0" shapeId="0">
      <text>
        <r>
          <rPr>
            <sz val="10"/>
            <color rgb="FF000000"/>
            <rFont val="Arial"/>
          </rPr>
          <t>CCT 2021 (15ª §1º) define R$ 16,00/dia com possibilidade de descontar até 5% desse valor como contribuição do funcionário (§3º, regra do PAT).
Cálculo: (R$ 16,00 - 5%) * 21,083 dias (Dias trabalhados de segunda a sexta, sendo assim considerados por superarem 6 horas trabalhadas/dia, conforme CLÁUSULA 15ª, caput).
======</t>
        </r>
      </text>
    </comment>
  </commentList>
</comments>
</file>

<file path=xl/comments6.xml><?xml version="1.0" encoding="utf-8"?>
<comments xmlns="http://schemas.openxmlformats.org/spreadsheetml/2006/main">
  <authors>
    <author/>
  </authors>
  <commentList>
    <comment ref="G4" authorId="0" shapeId="0">
      <text>
        <r>
          <rPr>
            <sz val="10"/>
            <color rgb="FF000000"/>
            <rFont val="Arial"/>
          </rPr>
          <t>A taxa de manutenção (0,25% a.m.) é a sugerida no artigo “Formação de preços dos serviços contínuos a serem terceirizados na Administração Pública” da Revista Zênite.
======</t>
        </r>
      </text>
    </comment>
  </commentList>
</comments>
</file>

<file path=xl/sharedStrings.xml><?xml version="1.0" encoding="utf-8"?>
<sst xmlns="http://schemas.openxmlformats.org/spreadsheetml/2006/main" count="1595" uniqueCount="488">
  <si>
    <t>PLANILHA DE CUSTOS E FORMAÇÃO DE PREÇOS</t>
  </si>
  <si>
    <t>ENCARREGADO (44 HORAS de segunda a sábado)</t>
  </si>
  <si>
    <t>Pregão Eletrônico nº 32/2021</t>
  </si>
  <si>
    <t>Processo nº 23194.000308.2021-63</t>
  </si>
  <si>
    <t> DISCRIMINAÇÃO DOS SERVIÇOS (DADOS REFERENTES À CONTRATAÇÃO)</t>
  </si>
  <si>
    <t>A</t>
  </si>
  <si>
    <t>Data de apresentação da proposta (dia/mês/ano)</t>
  </si>
  <si>
    <t>B</t>
  </si>
  <si>
    <t>Município/UF</t>
  </si>
  <si>
    <t>CUIABÁ-MT</t>
  </si>
  <si>
    <t>C</t>
  </si>
  <si>
    <t>Ano Acordo, Convenção ou Sentença Normativa em Dissídio Coletivo</t>
  </si>
  <si>
    <t>MT000060/2021</t>
  </si>
  <si>
    <t>D</t>
  </si>
  <si>
    <t>Nº de meses de execução contratual</t>
  </si>
  <si>
    <t>IDENTIFICAÇÃO DOS SERVIÇOS</t>
  </si>
  <si>
    <t> Tipo de Serviço</t>
  </si>
  <si>
    <t>Limpeza e Conservação</t>
  </si>
  <si>
    <t>MÓDULOS</t>
  </si>
  <si>
    <t> Mão-de-obra vinculada à execução contratual</t>
  </si>
  <si>
    <t>Dados complementares para composição dos custos referente à mão-de-obra</t>
  </si>
  <si>
    <t>Tipo de serviço (mesmo serviço com características distintas)</t>
  </si>
  <si>
    <t>Classificação Brasileira de Ocupações (CBO)</t>
  </si>
  <si>
    <t>5143-20</t>
  </si>
  <si>
    <t>Salário Normativo da Categoria Profissional</t>
  </si>
  <si>
    <t>Categoria profissional (vinculada à execução contratual)</t>
  </si>
  <si>
    <t>Data base da categoria (dia/mês/ano)</t>
  </si>
  <si>
    <t>MÓDULO 1 :   COMPOSIÇÃO DA REMUNERAÇÃO</t>
  </si>
  <si>
    <t>Composição da Remuneração</t>
  </si>
  <si>
    <t>Valor (R$)</t>
  </si>
  <si>
    <t>Salário Base</t>
  </si>
  <si>
    <t>Adicional  de periculosidade</t>
  </si>
  <si>
    <t>Adicional  de insalubridade</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</si>
  <si>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</si>
  <si>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t>E</t>
  </si>
  <si>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</si>
  <si>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t>F</t>
  </si>
  <si>
    <r>
      <rPr>
        <sz val="10"/>
        <color rgb="FF000000"/>
        <rFont val="Arial"/>
      </rPr>
      <t xml:space="preserve">Horas extras - </t>
    </r>
    <r>
      <rPr>
        <b/>
        <sz val="10"/>
        <color rgb="FF000000"/>
        <rFont val="Arial"/>
      </rPr>
      <t>[(verbas de natureza salarial/220ou180)+((verbas de natureza salarial/220 ou 180hs)*50% ou 100%)]  * quantidade de horas extras</t>
    </r>
  </si>
  <si>
    <t>G</t>
  </si>
  <si>
    <r>
      <rPr>
        <sz val="10"/>
        <color rgb="FF000000"/>
        <rFont val="Arial"/>
      </rPr>
      <t xml:space="preserve">Reflexo no DSR - </t>
    </r>
    <r>
      <rPr>
        <b/>
        <sz val="10"/>
        <color rgb="FF000000"/>
        <rFont val="Arial"/>
      </rPr>
      <t>{[(valor das horas extras) ÷ nº de dias úteis do mês] x nº RSR do mês}</t>
    </r>
  </si>
  <si>
    <t>H</t>
  </si>
  <si>
    <t>Outros - Gratificação por ASSIDUIDADE</t>
  </si>
  <si>
    <t>I</t>
  </si>
  <si>
    <t>Outros - Gratificação por FUNÇÃO</t>
  </si>
  <si>
    <t>TOTAL DA REMUNERAÇÃO (A+B+C+D+E+F+G+H+I)</t>
  </si>
  <si>
    <t>Nota1:  O Módulo 1 refere-se ao valor mensal devido ao empegado pela prestação do serviço no período de 12 meses.</t>
  </si>
  <si>
    <t>MÓDULO 2: ENCARGOS E BENEFÍCIOS ANUAIS, MENSAIS E DIÁRIOS</t>
  </si>
  <si>
    <t>SUBMÓDULO 2.1: 13º (décimo terceiro) Salário e Adicional de Férias</t>
  </si>
  <si>
    <t>2.1</t>
  </si>
  <si>
    <t>13º (décimo terceiro) Salário, Férias e Adicional de Férias</t>
  </si>
  <si>
    <r>
      <rPr>
        <sz val="10"/>
        <color rgb="FF000000"/>
        <rFont val="Arial"/>
      </rPr>
      <t xml:space="preserve">13º (décimo terceiro) Salário - </t>
    </r>
    <r>
      <rPr>
        <b/>
        <sz val="10"/>
        <color rgb="FF000000"/>
        <rFont val="Arial"/>
      </rPr>
      <t>(remuneração x 8,33%)</t>
    </r>
  </si>
  <si>
    <t>CONTA VINCULADA</t>
  </si>
  <si>
    <r>
      <rPr>
        <sz val="10"/>
        <color rgb="FF000000"/>
        <rFont val="Arial"/>
      </rPr>
      <t xml:space="preserve">Adicional de Férias - </t>
    </r>
    <r>
      <rPr>
        <b/>
        <sz val="10"/>
        <color rgb="FF000000"/>
        <rFont val="Arial"/>
      </rPr>
      <t>(remuneração x 0,0278)</t>
    </r>
  </si>
  <si>
    <t>SUBTOTAL (A+B)</t>
  </si>
  <si>
    <r>
      <rPr>
        <sz val="10"/>
        <color rgb="FF000000"/>
        <rFont val="Arial"/>
      </rPr>
      <t xml:space="preserve">Incidência do submódulo 2.2 no 13º e adicional de férias - </t>
    </r>
    <r>
      <rPr>
        <b/>
        <sz val="10"/>
        <color rgb="FF000000"/>
        <rFont val="Arial"/>
      </rPr>
      <t>(A+B)x%do submódulo 2.2</t>
    </r>
  </si>
  <si>
    <t>TOTAL DE 13º (DÉCIMO TERCEIRO) SALÁRIO E ADICIONAL DE FÉRIAS (A+B+C)</t>
  </si>
  <si>
    <t>Nota 1:  Como a planilha de custos e formação de preços é calculada mensalmente, provisiona-se proporcionalmente 1/12 (um doze avos) dos valores referentes à gratificação natalina e adicional de férias.
Nota 2:  O adicional de férias contido no Submódulo 2.1 corresponde a 1/3 (um terço) da remuneração que por sua vez é dividido por 12 (doze) conforme Nota 1 acima.</t>
  </si>
  <si>
    <t>SUBMÓDULO 2.2: Encargos Previdenciários (GPS), Fundo de Garantia por Tempo de Serviço (FGTS) e outras contribuições.</t>
  </si>
  <si>
    <t>2.2</t>
  </si>
  <si>
    <t>GPS, FGTS e outras contribuições</t>
  </si>
  <si>
    <t>Percentual (%)</t>
  </si>
  <si>
    <t>INSS (Art. 22, Inciso I, da Lei nº 8.212/91)</t>
  </si>
  <si>
    <t>Salário Educação (Art. 3º, Inciso I, Decreto n.º 87.043/82)</t>
  </si>
  <si>
    <t>SAT (RAT X FAP)</t>
  </si>
  <si>
    <t>SESC ou SESI  (Art. 3º, Lei n.º 8.036/90)</t>
  </si>
  <si>
    <t>SENAI - SENAC (Decreto n.º 2.318/86)</t>
  </si>
  <si>
    <t>SEBRAE (Art. 8º, Lei n.º 8.029/90 e Lei n.º 8.154/90)</t>
  </si>
  <si>
    <t>INCRA (Lei n.º 7.787/89 e DL n.º 1.146/70)</t>
  </si>
  <si>
    <t>FGTS (Art. 15, Lei nº 8.030/90 e Art. 7º, III, CF)</t>
  </si>
  <si>
    <t>TOTAL GPS, FGTS E OUTRAS CONTRIBUIÇÕES (A+B+C+D+E+F+G+H)</t>
  </si>
  <si>
    <t>SUBMÓDULO 2.3: Benefícios Mensais e Diários</t>
  </si>
  <si>
    <t>2.3</t>
  </si>
  <si>
    <t>Benefícios  Mensais e Diários</t>
  </si>
  <si>
    <t>Transporte (Lei 7.418 de 16.dez.1985) (Passagem R$ 4,10)</t>
  </si>
  <si>
    <t xml:space="preserve">Auxílio alimentação </t>
  </si>
  <si>
    <t>Programa de Assistência Social, Ocupacional e Lazer para empregados do segmento</t>
  </si>
  <si>
    <t>Auxílio creche</t>
  </si>
  <si>
    <t>Seguro de Vida, Exames Ocupacionais, Tratamento Odontológicos Básicos Preventivos, PCMSO e PPRA (CCT/2021-SEAC/MT Cláusula 51ª)</t>
  </si>
  <si>
    <t>Outros: Prêmio Cesta Básica a Título de Assiduidade (Cláusula 9ª CCT/2021-SEAC-MT)</t>
  </si>
  <si>
    <t>Associação Escola</t>
  </si>
  <si>
    <t>TOTAL BENEFÍCIOS  MENSAIS E DIÁRIOS (A+B+C+D+E+F+G)</t>
  </si>
  <si>
    <t>Nota 1: o valor informado deverá ser o custo real do insumo (descontado o valor eventualmente pago pelo empregado).
Nota 2: Observar a previsão dos benefícios contidos em Acordos, Convenções e Dissídios Coletivos de Trabalho e atentar-se ao disposto no artigo 6º da Instrução Normativa SEGES/MPDG nº 05/2017.</t>
  </si>
  <si>
    <t>Quadro-Resumo do Módulo 2 - Encargos e Benefícios anuais, mensais e diários</t>
  </si>
  <si>
    <t>Encargos e Benefícios Anuais, Mensais e Diários</t>
  </si>
  <si>
    <t>TOTAL ENCARGOS BENEFÍCIOS ANUAIS, MENSAIS E DIÁRIOS</t>
  </si>
  <si>
    <t>MÓDULO 3: PROVISÃO PARA RESCISÃO</t>
  </si>
  <si>
    <t>Provisão para Rescisão</t>
  </si>
  <si>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</si>
  <si>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</si>
  <si>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</si>
  <si>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</si>
  <si>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</si>
  <si>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</si>
  <si>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t>TOTAL PROVISÃO PARA RESCISÃO</t>
  </si>
  <si>
    <t>MÓDULO 4: CUSTO DE REPOSIÇÃO DE PROFISSIONAL AUSENTE</t>
  </si>
  <si>
    <t>Nota 1: Os itens que contemplam o módulo 4 se referem ao custo dos dias trabalhados pelo repositor/substituto que por ventura venha cobrir o empregado nos casos de Ausências Legais (Submódulo 4.1) e/ou na Intrajornada (Submódulo 4.2) a depender da prestação do serviço.
Nota 2: Haverá a incidência do Submódulo 2.2 sobre esse módulo.</t>
  </si>
  <si>
    <t>Base de cálculo para o Custo de Reposição do Profissional Ausente (substituto): BCCPA = Rem + 13º + Férias + 1/3Férias (exceto para Afast Mat, que é a Remuneração)
Conforme Item 89 do Relatório do Acórdão TCU nº 1.753/2008 do Plenário e Orientações da SEGES/MPDG</t>
  </si>
  <si>
    <t>SUBMÓDULO 4.1: Ausências legais</t>
  </si>
  <si>
    <t>4.1</t>
  </si>
  <si>
    <t>Ausências Legais</t>
  </si>
  <si>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</si>
  <si>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</si>
  <si>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</si>
  <si>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</si>
  <si>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</si>
  <si>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</si>
  <si>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</si>
  <si>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</si>
  <si>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</si>
  <si>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t>TOTAL AUSÊNCIAS LEGAIS (A+B+C+D+E+F)</t>
  </si>
  <si>
    <t>SUBMÓDULO 4.2: Intrajornada</t>
  </si>
  <si>
    <t>4.2</t>
  </si>
  <si>
    <t>Intrajornada</t>
  </si>
  <si>
    <t>Intervalo para repouso ou alimentação</t>
  </si>
  <si>
    <t>TOTAL INTRAJORNADA (A)</t>
  </si>
  <si>
    <t>Quadro-Resumo do Módulo 4 - Custo de Reposição do Profissional Ausente</t>
  </si>
  <si>
    <t>Ausências legais</t>
  </si>
  <si>
    <t>MÓDULO 5: INSUMOS DIVERSOS</t>
  </si>
  <si>
    <t>Insumos Diversos</t>
  </si>
  <si>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</si>
  <si>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</si>
  <si>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</si>
  <si>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</si>
  <si>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Outros</t>
  </si>
  <si>
    <t>TOTAL DE INSUMOS DIVERSOS</t>
  </si>
  <si>
    <t>MÓDULO 6: CUSTOS INDIRETOS, TRIBUTOS E LUCRO</t>
  </si>
  <si>
    <t>Custos Indiretos, Tributos e Lucro</t>
  </si>
  <si>
    <t>%</t>
  </si>
  <si>
    <t>Custos Indiretos</t>
  </si>
  <si>
    <t>BASE DE CÁLCULO DOS CUSTOS INDIRETOS  = (Total do Módulo 1 – Composição da  Remuneração + Total do Módulo 2 - Encargos e Benefícios Anuais, Mensais e Diários + Total do Módulo 3 – Provisão da Rescisão + Total do Módulo 4 - Custo de Reposição do Profissional Ausente + Total do Módulo 5 - Insumos Diversos)</t>
  </si>
  <si>
    <t>Lucro</t>
  </si>
  <si>
    <t>BASE DE CÁLCULO DO LUCRO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t>
  </si>
  <si>
    <t>Tributos</t>
  </si>
  <si>
    <t>BASE DE CÁLCULO DOS TRIBUTOS = (Total do Módulo 1 – Composição da  Remuneração + Total do Módulo 2 - Encargos e Benefícios Anuais, Mensais e Diários + Total do Módulo 3 – Provisão da Rescisão + Total do Módulo 4 - Custo de Reposição do Profissional Ausente + Total do Módulo 5 - Insumos Diversos + Custos Indiretos + Lucro)</t>
  </si>
  <si>
    <t>C1. Tributos Federais</t>
  </si>
  <si>
    <t>C.1.1  PIS</t>
  </si>
  <si>
    <t>C.1.2 COFINS</t>
  </si>
  <si>
    <t>C.2  Tributos Estaduais</t>
  </si>
  <si>
    <t>C.3   Tributos Municipais</t>
  </si>
  <si>
    <t>C.3.1 - ISS</t>
  </si>
  <si>
    <t>TOTAL</t>
  </si>
  <si>
    <t>Nota 1: Custos Indiretos, Lucro e Tributos por empregado.
Nota 2: O valor referente a tributos é obtido aplicando-se o percentual sobre o valor do faturamento.</t>
  </si>
  <si>
    <t>2 - QUADRO RESUMO DO CUSTO POR EMPREGADO</t>
  </si>
  <si>
    <t>Mão-de-obra vinculada à execução contratual (valor por empregado)</t>
  </si>
  <si>
    <t>(R$)</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</si>
  <si>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</si>
  <si>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</si>
  <si>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</si>
  <si>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</si>
  <si>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</si>
  <si>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</si>
  <si>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</si>
  <si>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Outros: Gratificação Líder</t>
  </si>
  <si>
    <t>Valor total por empregado</t>
  </si>
  <si>
    <t>SERVENTE DE LIMPEZA  (44 HORAS de segunda a sábado)</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</si>
  <si>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</si>
  <si>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</si>
  <si>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r>
      <rPr>
        <sz val="10"/>
        <color rgb="FF000000"/>
        <rFont val="Arial"/>
      </rPr>
      <t xml:space="preserve">Horas extras - </t>
    </r>
    <r>
      <rPr>
        <b/>
        <sz val="10"/>
        <color rgb="FF000000"/>
        <rFont val="Arial"/>
      </rPr>
      <t>[(verbas de natureza salarial/220ou180)+((verbas de natureza salarial/220 ou 180hs)*50% ou 100%)]  * quantidade de horas extras</t>
    </r>
  </si>
  <si>
    <r>
      <rPr>
        <sz val="10"/>
        <color rgb="FF000000"/>
        <rFont val="Arial"/>
      </rPr>
      <t xml:space="preserve">Reflexo no DSR - </t>
    </r>
    <r>
      <rPr>
        <b/>
        <sz val="10"/>
        <color rgb="FF000000"/>
        <rFont val="Arial"/>
      </rPr>
      <t>{[(valor das horas extras) ÷ nº de dias úteis do mês] x nº RSR do mês}</t>
    </r>
  </si>
  <si>
    <r>
      <rPr>
        <sz val="10"/>
        <color rgb="FF000000"/>
        <rFont val="Arial"/>
      </rPr>
      <t xml:space="preserve">13º (décimo terceiro) Salário - </t>
    </r>
    <r>
      <rPr>
        <b/>
        <sz val="10"/>
        <color rgb="FF000000"/>
        <rFont val="Arial"/>
      </rPr>
      <t>(remuneração x 8,33%)</t>
    </r>
  </si>
  <si>
    <r>
      <rPr>
        <sz val="10"/>
        <color rgb="FF000000"/>
        <rFont val="Arial"/>
      </rPr>
      <t xml:space="preserve">Adicional de Férias - </t>
    </r>
    <r>
      <rPr>
        <b/>
        <sz val="10"/>
        <color rgb="FF000000"/>
        <rFont val="Arial"/>
      </rPr>
      <t>(remuneração x 0,0278)</t>
    </r>
  </si>
  <si>
    <r>
      <rPr>
        <sz val="10"/>
        <color rgb="FF000000"/>
        <rFont val="Arial"/>
      </rPr>
      <t xml:space="preserve">Incidência do submódulo 2.2 no 13º e adicional de férias - </t>
    </r>
    <r>
      <rPr>
        <b/>
        <sz val="10"/>
        <color rgb="FF000000"/>
        <rFont val="Arial"/>
      </rPr>
      <t>(A+B)x%do submódulo 2.2</t>
    </r>
  </si>
  <si>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</si>
  <si>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</si>
  <si>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</si>
  <si>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</si>
  <si>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</si>
  <si>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</si>
  <si>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</si>
  <si>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</si>
  <si>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</si>
  <si>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</si>
  <si>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</si>
  <si>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</si>
  <si>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</si>
  <si>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</si>
  <si>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</si>
  <si>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</si>
  <si>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</si>
  <si>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</si>
  <si>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</si>
  <si>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SERVENTE DE LIMPEZA  (44 HORAS de segunda a sábado) com insalubridade 10%, para limpeza geral com prioridade para os banheiros com até 20 usuários por dia</t>
  </si>
  <si>
    <t>Adicional  de insalubridade para limpeza de banheiros públicos com até 20 usuários por dia (10% sobre o salário mínimo - CCT/2021-SEAC/MT Cláusula 13ª)</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</si>
  <si>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</si>
  <si>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</si>
  <si>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r>
      <rPr>
        <sz val="10"/>
        <color rgb="FF000000"/>
        <rFont val="Arial"/>
      </rPr>
      <t xml:space="preserve">Horas extras - </t>
    </r>
    <r>
      <rPr>
        <b/>
        <sz val="10"/>
        <color rgb="FF000000"/>
        <rFont val="Arial"/>
      </rPr>
      <t>[(verbas de natureza salarial/220ou180)+((verbas de natureza salarial/220 ou 180hs)*50% ou 100%)]  * quantidade de horas extras</t>
    </r>
  </si>
  <si>
    <r>
      <rPr>
        <sz val="10"/>
        <color rgb="FF000000"/>
        <rFont val="Arial"/>
      </rPr>
      <t xml:space="preserve">Reflexo no DSR - </t>
    </r>
    <r>
      <rPr>
        <b/>
        <sz val="10"/>
        <color rgb="FF000000"/>
        <rFont val="Arial"/>
      </rPr>
      <t>{[(valor das horas extras) ÷ nº de dias úteis do mês] x nº RSR do mês}</t>
    </r>
  </si>
  <si>
    <r>
      <rPr>
        <sz val="10"/>
        <color rgb="FF000000"/>
        <rFont val="Arial"/>
      </rPr>
      <t xml:space="preserve">13º (décimo terceiro) Salário - </t>
    </r>
    <r>
      <rPr>
        <b/>
        <sz val="10"/>
        <color rgb="FF000000"/>
        <rFont val="Arial"/>
      </rPr>
      <t>(remuneração x 8,33%)</t>
    </r>
  </si>
  <si>
    <r>
      <rPr>
        <sz val="10"/>
        <color rgb="FF000000"/>
        <rFont val="Arial"/>
      </rPr>
      <t xml:space="preserve">Adicional de Férias - </t>
    </r>
    <r>
      <rPr>
        <b/>
        <sz val="10"/>
        <color rgb="FF000000"/>
        <rFont val="Arial"/>
      </rPr>
      <t>(remuneração x 0,0278)</t>
    </r>
  </si>
  <si>
    <r>
      <rPr>
        <sz val="10"/>
        <color rgb="FF000000"/>
        <rFont val="Arial"/>
      </rPr>
      <t xml:space="preserve">Incidência do submódulo 2.2 no 13º e adicional de férias - </t>
    </r>
    <r>
      <rPr>
        <b/>
        <sz val="10"/>
        <color rgb="FF000000"/>
        <rFont val="Arial"/>
      </rPr>
      <t>(A+B)x%do submódulo 2.2</t>
    </r>
  </si>
  <si>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</si>
  <si>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</si>
  <si>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</si>
  <si>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</si>
  <si>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</si>
  <si>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</si>
  <si>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</si>
  <si>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</si>
  <si>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</si>
  <si>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</si>
  <si>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</si>
  <si>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</si>
  <si>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</si>
  <si>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</si>
  <si>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</si>
  <si>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</si>
  <si>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</si>
  <si>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</si>
  <si>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</si>
  <si>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SERVENTE DE LIMPEZA  (44 HORAS de segunda a sábado) com insalubridade 20%, para limpeza geral com prioridade para os banheiros com 21 à 40 usuários por dia</t>
  </si>
  <si>
    <t>Adicional  de insalubridade para limpeza de banheiros públicos com até 40 usuários por dia (20% sobre o salário mínimo - CCT/2021-SEAC/MT Cláusula 13ª)</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</si>
  <si>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</si>
  <si>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</si>
  <si>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r>
      <rPr>
        <sz val="10"/>
        <color rgb="FF000000"/>
        <rFont val="Arial"/>
      </rPr>
      <t xml:space="preserve">Horas extras - </t>
    </r>
    <r>
      <rPr>
        <b/>
        <sz val="10"/>
        <color rgb="FF000000"/>
        <rFont val="Arial"/>
      </rPr>
      <t>[(verbas de natureza salarial/220ou180)+((verbas de natureza salarial/220 ou 180hs)*50% ou 100%)]  * quantidade de horas extras</t>
    </r>
  </si>
  <si>
    <r>
      <rPr>
        <sz val="10"/>
        <color rgb="FF000000"/>
        <rFont val="Arial"/>
      </rPr>
      <t xml:space="preserve">Reflexo no DSR - </t>
    </r>
    <r>
      <rPr>
        <b/>
        <sz val="10"/>
        <color rgb="FF000000"/>
        <rFont val="Arial"/>
      </rPr>
      <t>{[(valor das horas extras) ÷ nº de dias úteis do mês] x nº RSR do mês}</t>
    </r>
  </si>
  <si>
    <r>
      <rPr>
        <sz val="10"/>
        <color rgb="FF000000"/>
        <rFont val="Arial"/>
      </rPr>
      <t xml:space="preserve">13º (décimo terceiro) Salário - </t>
    </r>
    <r>
      <rPr>
        <b/>
        <sz val="10"/>
        <color rgb="FF000000"/>
        <rFont val="Arial"/>
      </rPr>
      <t>(remuneração x 8,33%)</t>
    </r>
  </si>
  <si>
    <r>
      <rPr>
        <sz val="10"/>
        <color rgb="FF000000"/>
        <rFont val="Arial"/>
      </rPr>
      <t xml:space="preserve">Adicional de Férias - </t>
    </r>
    <r>
      <rPr>
        <b/>
        <sz val="10"/>
        <color rgb="FF000000"/>
        <rFont val="Arial"/>
      </rPr>
      <t>(remuneração x 0,0278)</t>
    </r>
  </si>
  <si>
    <r>
      <rPr>
        <sz val="10"/>
        <color rgb="FF000000"/>
        <rFont val="Arial"/>
      </rPr>
      <t xml:space="preserve">Incidência do submódulo 2.2 no 13º e adicional de férias - </t>
    </r>
    <r>
      <rPr>
        <b/>
        <sz val="10"/>
        <color rgb="FF000000"/>
        <rFont val="Arial"/>
      </rPr>
      <t>(A+B)x%do submódulo 2.2</t>
    </r>
  </si>
  <si>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</si>
  <si>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</si>
  <si>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</si>
  <si>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</si>
  <si>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</si>
  <si>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</si>
  <si>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</si>
  <si>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</si>
  <si>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</si>
  <si>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</si>
  <si>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</si>
  <si>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</si>
  <si>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</si>
  <si>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</si>
  <si>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</si>
  <si>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</si>
  <si>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</si>
  <si>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</si>
  <si>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</si>
  <si>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 xml:space="preserve">SERVENTE DE LIMPEZA  (44 HORAS de segunda a sábado) com insalubridade 40%, para limpeza geral com prioridade para os banheiros com 60 usuários ou mais por dia </t>
  </si>
  <si>
    <t>Adicional  de insalubridade para limpeza de banheiros públicos com 60 usuários ou mais por dia (40% sobre o salário mínimo - CCT/2021-SEAC/MT Cláusula 13ª)</t>
  </si>
  <si>
    <r>
      <rPr>
        <sz val="10"/>
        <color rgb="FF000000"/>
        <rFont val="Arial"/>
      </rPr>
      <t xml:space="preserve">Adicional noturno e hora noturna roduzida - </t>
    </r>
    <r>
      <rPr>
        <b/>
        <sz val="10"/>
        <color rgb="FF000000"/>
        <rFont val="Arial"/>
      </rPr>
      <t>(((((Sal. Base+Periculosidade ou insalubridade+gratificações/180)*20%))*qtd horas noturnas)*qtd dias com adicional noturno)</t>
    </r>
  </si>
  <si>
    <r>
      <rPr>
        <sz val="10"/>
        <color rgb="FF000000"/>
        <rFont val="Arial"/>
      </rPr>
      <t xml:space="preserve">Intervalo Intrajornada - </t>
    </r>
    <r>
      <rPr>
        <b/>
        <sz val="10"/>
        <color rgb="FF000000"/>
        <rFont val="Arial"/>
      </rPr>
      <t>[((Salario base+ad.Insalu/peric.+gratificações/180ou220)+( ad. Noturno e hora noturna red./120))*1,5]*qtd. dias trab. sem concessão do intervalo</t>
    </r>
  </si>
  <si>
    <r>
      <rPr>
        <sz val="10"/>
        <color rgb="FF000000"/>
        <rFont val="Arial"/>
      </rPr>
      <t xml:space="preserve">Horas extras - </t>
    </r>
    <r>
      <rPr>
        <b/>
        <sz val="10"/>
        <color rgb="FF000000"/>
        <rFont val="Arial"/>
      </rPr>
      <t>[(verbas de natureza salarial/220ou180)+((verbas de natureza salarial/220 ou 180hs)*50% ou 100%)]  * quantidade de horas extras</t>
    </r>
  </si>
  <si>
    <r>
      <rPr>
        <sz val="10"/>
        <color rgb="FF000000"/>
        <rFont val="Arial"/>
      </rPr>
      <t xml:space="preserve">Reflexo no DSR - </t>
    </r>
    <r>
      <rPr>
        <b/>
        <sz val="10"/>
        <color rgb="FF000000"/>
        <rFont val="Arial"/>
      </rPr>
      <t>{[(valor das horas extras) ÷ nº de dias úteis do mês] x nº RSR do mês}</t>
    </r>
  </si>
  <si>
    <r>
      <rPr>
        <sz val="10"/>
        <color rgb="FF000000"/>
        <rFont val="Arial"/>
      </rPr>
      <t xml:space="preserve">13º (décimo terceiro) Salário - </t>
    </r>
    <r>
      <rPr>
        <b/>
        <sz val="10"/>
        <color rgb="FF000000"/>
        <rFont val="Arial"/>
      </rPr>
      <t>(remuneração x 8,33%)</t>
    </r>
  </si>
  <si>
    <r>
      <rPr>
        <sz val="10"/>
        <color rgb="FF000000"/>
        <rFont val="Arial"/>
      </rPr>
      <t xml:space="preserve">Adicional de Férias - </t>
    </r>
    <r>
      <rPr>
        <b/>
        <sz val="10"/>
        <color rgb="FF000000"/>
        <rFont val="Arial"/>
      </rPr>
      <t>(remuneração x 0,0278)</t>
    </r>
  </si>
  <si>
    <r>
      <rPr>
        <sz val="10"/>
        <color rgb="FF000000"/>
        <rFont val="Arial"/>
      </rPr>
      <t xml:space="preserve">Incidência do submódulo 2.2 no 13º e adicional de férias - </t>
    </r>
    <r>
      <rPr>
        <b/>
        <sz val="10"/>
        <color rgb="FF000000"/>
        <rFont val="Arial"/>
      </rPr>
      <t>(A+B)x%do submódulo 2.2</t>
    </r>
  </si>
  <si>
    <r>
      <rPr>
        <sz val="10"/>
        <color rgb="FF000000"/>
        <rFont val="Arial"/>
      </rPr>
      <t xml:space="preserve">Aviso Prévio Indenizado - </t>
    </r>
    <r>
      <rPr>
        <b/>
        <sz val="10"/>
        <color rgb="FF000000"/>
        <rFont val="Arial"/>
      </rPr>
      <t>{Rem/12 + 13º/12=(Rem/12)/12 + Férias/12=(Rem/12)/12 + (1/3xFérias)/12=1/3x[(Rem/12)/12]} x (30/30=1) x 5% de rotatividade anual - Os reflexos de 13º, F e 1/3F são referentes a 1 mês de APInd - Na prorrogação, poderão ser considerados 3 dias conforme Lei nº 12.506/2011, dependendo da análise do nº de ocorrências deste evento no período.</t>
    </r>
  </si>
  <si>
    <r>
      <rPr>
        <sz val="10"/>
        <color rgb="FF000000"/>
        <rFont val="Arial"/>
      </rPr>
      <t xml:space="preserve">Incidência do FGTS sobre o Aviso Prévio Indenizado - </t>
    </r>
    <r>
      <rPr>
        <b/>
        <sz val="10"/>
        <color rgb="FF000000"/>
        <rFont val="Arial"/>
      </rPr>
      <t>(Aviso Prévio Indenizado * 8% FGTS)</t>
    </r>
  </si>
  <si>
    <r>
      <rPr>
        <sz val="10"/>
        <color rgb="FF000000"/>
        <rFont val="Arial"/>
      </rPr>
      <t xml:space="preserve">Multa do FGTS sobre o Aviso Prévio Indenizado - </t>
    </r>
    <r>
      <rPr>
        <b/>
        <sz val="10"/>
        <color rgb="FF000000"/>
        <rFont val="Arial"/>
      </rPr>
      <t>(multa 40%)</t>
    </r>
  </si>
  <si>
    <r>
      <rPr>
        <sz val="10"/>
        <color rgb="FF000000"/>
        <rFont val="Arial"/>
      </rPr>
      <t xml:space="preserve">Aviso Prévio Trabalhado - </t>
    </r>
    <r>
      <rPr>
        <b/>
        <sz val="10"/>
        <color rgb="FF000000"/>
        <rFont val="Arial"/>
      </rPr>
      <t>(Rem/12)/30)x7)x100% ou 1,94%</t>
    </r>
  </si>
  <si>
    <r>
      <rPr>
        <sz val="10"/>
        <color rgb="FF000000"/>
        <rFont val="Arial"/>
      </rPr>
      <t xml:space="preserve">Incidência dos encargos do submódulo 2.2 sobre o Aviso Prévio
Trabalhado - </t>
    </r>
    <r>
      <rPr>
        <b/>
        <sz val="10"/>
        <color rgb="FF000000"/>
        <rFont val="Arial"/>
      </rPr>
      <t>(Aviso Prévio Trabalhado) x % do Submódulo 2.2</t>
    </r>
  </si>
  <si>
    <r>
      <rPr>
        <sz val="10"/>
        <color rgb="FF000000"/>
        <rFont val="Arial"/>
      </rPr>
      <t xml:space="preserve">Multa do FGTS sobre o Aviso Prévio Trabalhado - </t>
    </r>
    <r>
      <rPr>
        <b/>
        <sz val="10"/>
        <color rgb="FF000000"/>
        <rFont val="Arial"/>
      </rPr>
      <t xml:space="preserve"> [40%x8%x(Rem+13º+Férias+1/3xFérias)]x100% dos empregados</t>
    </r>
  </si>
  <si>
    <r>
      <rPr>
        <sz val="10"/>
        <color rgb="FF000000"/>
        <rFont val="Arial"/>
      </rPr>
      <t xml:space="preserve">Férias </t>
    </r>
    <r>
      <rPr>
        <b/>
        <sz val="10"/>
        <color rgb="FF000000"/>
        <rFont val="Arial"/>
      </rPr>
      <t>- (BCCPA x(1/12))</t>
    </r>
  </si>
  <si>
    <r>
      <rPr>
        <sz val="10"/>
        <color rgb="FF000000"/>
        <rFont val="Arial"/>
      </rPr>
      <t xml:space="preserve">Ausências legais - </t>
    </r>
    <r>
      <rPr>
        <b/>
        <sz val="10"/>
        <color rgb="FF000000"/>
        <rFont val="Arial"/>
      </rPr>
      <t>((BCCPA/30/12)x1 dia</t>
    </r>
  </si>
  <si>
    <r>
      <rPr>
        <sz val="10"/>
        <color rgb="FF000000"/>
        <rFont val="Arial"/>
      </rPr>
      <t xml:space="preserve">Licença paternidade - </t>
    </r>
    <r>
      <rPr>
        <b/>
        <sz val="10"/>
        <color rgb="FF000000"/>
        <rFont val="Arial"/>
      </rPr>
      <t>((BCCPA/30/12)x5 dias)x1,5%</t>
    </r>
  </si>
  <si>
    <r>
      <rPr>
        <sz val="10"/>
        <color rgb="FF000000"/>
        <rFont val="Arial"/>
      </rPr>
      <t xml:space="preserve">Ausências por acidente de trabalho - </t>
    </r>
    <r>
      <rPr>
        <b/>
        <sz val="10"/>
        <color rgb="FF000000"/>
        <rFont val="Arial"/>
      </rPr>
      <t>((BCCPA/30/12)x30 dias)x8%</t>
    </r>
  </si>
  <si>
    <r>
      <rPr>
        <sz val="10"/>
        <color rgb="FF000000"/>
        <rFont val="Arial"/>
      </rPr>
      <t xml:space="preserve">Outros – Ex. Ausência por doença - </t>
    </r>
    <r>
      <rPr>
        <b/>
        <sz val="10"/>
        <color rgb="FF000000"/>
        <rFont val="Arial"/>
      </rPr>
      <t>(BCCPA/30/12)x5 diasx40%</t>
    </r>
  </si>
  <si>
    <r>
      <rPr>
        <sz val="10"/>
        <color rgb="FF000000"/>
        <rFont val="Arial"/>
      </rPr>
      <t xml:space="preserve">Incidência dos Encargos do Submódulo 2.2 sobre as ausências legais - </t>
    </r>
    <r>
      <rPr>
        <b/>
        <sz val="10"/>
        <color rgb="FF000000"/>
        <rFont val="Arial"/>
      </rPr>
      <t>(A+B+C+D+E) x % do submódulo 2.2</t>
    </r>
  </si>
  <si>
    <r>
      <rPr>
        <sz val="10"/>
        <color rgb="FF000000"/>
        <rFont val="Arial"/>
      </rPr>
      <t xml:space="preserve">Afastamento Maternidade (Férias pagas ao substituto pelos 120 dias de reposição) - </t>
    </r>
    <r>
      <rPr>
        <b/>
        <sz val="10"/>
        <color rgb="FF000000"/>
        <rFont val="Arial"/>
      </rPr>
      <t>(((Remuneração+(Remuneração ÷ 3)) x (4/12)) ÷ 12) x 2%</t>
    </r>
  </si>
  <si>
    <r>
      <rPr>
        <sz val="10"/>
        <color rgb="FF000000"/>
        <rFont val="Arial"/>
      </rPr>
      <t xml:space="preserve">Incidência dos encargos do submódulo 2.2 sobre as férias pagas ao substituto pelos 120 dias de reposição - </t>
    </r>
    <r>
      <rPr>
        <b/>
        <sz val="10"/>
        <color rgb="FF000000"/>
        <rFont val="Arial"/>
      </rPr>
      <t>(férias pagas ao substituto pelos 120 dias de reposição) x % do submódulo 2.2</t>
    </r>
  </si>
  <si>
    <r>
      <rPr>
        <sz val="10"/>
        <color rgb="FF000000"/>
        <rFont val="Arial"/>
      </rPr>
      <t xml:space="preserve">Incidência do submódulo 2.2 sobre remuneração e 13º salário proporcionais aos 120 dias de reposição - </t>
    </r>
    <r>
      <rPr>
        <b/>
        <sz val="10"/>
        <color rgb="FF000000"/>
        <rFont val="Arial"/>
      </rPr>
      <t>(((rem + (rem ÷ 12)) x (4÷12)) x 2%) x % do submódulo 2.2</t>
    </r>
  </si>
  <si>
    <r>
      <rPr>
        <sz val="10"/>
        <color rgb="FF000000"/>
        <rFont val="Arial"/>
      </rPr>
      <t xml:space="preserve">Uniformes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</si>
  <si>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EPI (pesquisa de mercado)</t>
    </r>
    <r>
      <rPr>
        <b/>
        <sz val="10"/>
        <color rgb="FF000000"/>
        <rFont val="Arial"/>
      </rPr>
      <t xml:space="preserve"> - Retira-se o valor correspondente ao PIS/COFINS (9,25%) nessa etapa da planilha, visto que será tributado no módulo CITL, evitando assim bitributação.</t>
    </r>
  </si>
  <si>
    <r>
      <rPr>
        <sz val="10"/>
        <color rgb="FF000000"/>
        <rFont val="Arial"/>
      </rPr>
      <t xml:space="preserve">Materiais de Consumo e Utensílios (pesquisa de mercado) -  </t>
    </r>
    <r>
      <rPr>
        <b/>
        <sz val="10"/>
        <color rgb="FF000000"/>
        <rFont val="Arial"/>
      </rPr>
      <t>Retira-se o valor correspondente ao PIS/COFINS (9,25%) nessa etapa da planilha, visto que será tributado no módulo CITL, evitando assim bitributação.</t>
    </r>
  </si>
  <si>
    <r>
      <rPr>
        <sz val="10"/>
        <color rgb="FF000000"/>
        <rFont val="Arial"/>
      </rPr>
      <t xml:space="preserve">Depreciação e Manutenção de Equipamentos e Ferramentas (pesquisa de mercado) - </t>
    </r>
    <r>
      <rPr>
        <b/>
        <sz val="10"/>
        <color rgb="FF000000"/>
        <rFont val="Arial"/>
      </rPr>
      <t>Retira-se o valor correspondente ao PIS/COFINS (9,25%) nessa etapa da planilha, visto que será tributado no módulo CITL, evitando assim bitributação.</t>
    </r>
  </si>
  <si>
    <t>ESTIMATIVA DE PREÇOS - BDI</t>
  </si>
  <si>
    <t>Preços praticados na Administração Pública</t>
  </si>
  <si>
    <t>TCU</t>
  </si>
  <si>
    <t>SERVENTE DE LIMPEZA E LIMPADOR DE VIDROS EXTERNOS</t>
  </si>
  <si>
    <t>UASG 158144 PE 03/2021 (ITEM 1)</t>
  </si>
  <si>
    <t>UASG 158334 PE 01/2020 (ITEM 1)</t>
  </si>
  <si>
    <t>UASG 090021 PE 11/2020 (ITEM 1)</t>
  </si>
  <si>
    <t>UASG 194029 PE 04/2020 (ITEM 1)</t>
  </si>
  <si>
    <t>UASG 170190 PE 01/2020 (ITEM 1)</t>
  </si>
  <si>
    <t>% adotados no Acórdão 1753/2008 - Plenário</t>
  </si>
  <si>
    <t>Valor Médio</t>
  </si>
  <si>
    <t>CUSTOS INDIRETOS</t>
  </si>
  <si>
    <t>LUCRO</t>
  </si>
  <si>
    <t>ESTIMATIVA DE PREÇOS - UNIFORMES E EPI'S</t>
  </si>
  <si>
    <t>SERVENTE DE LIMPEZA</t>
  </si>
  <si>
    <t>UNIFORMES</t>
  </si>
  <si>
    <t>ORDEM</t>
  </si>
  <si>
    <t>ESPECIFICAÇÃO (NOME, TIPO, EMBALAGEM ETC.)</t>
  </si>
  <si>
    <t>UNIDADE</t>
  </si>
  <si>
    <t>QUANTIDADE ANUAL (A)</t>
  </si>
  <si>
    <t>VALOR UNITÁRIO (PAINEL DE PREÇOS DO MPDG) (B)</t>
  </si>
  <si>
    <t>VALOR TOTAL (A x B)</t>
  </si>
  <si>
    <t>Camiseta malha fria PV, manga curta, gola V e emblema da empresa.</t>
  </si>
  <si>
    <t>Unidade</t>
  </si>
  <si>
    <t>Camiseta malha fria PV, manga longa com punho, gola V e emblema da empresa.</t>
  </si>
  <si>
    <t>Calça Comprida  confeccionada em tecido em brim,com elástico e cadarço na cintura, bolso somente no quadril.</t>
  </si>
  <si>
    <t>Pares de meia em algodão</t>
  </si>
  <si>
    <t>Par</t>
  </si>
  <si>
    <t>TOTAL ANUAL:</t>
  </si>
  <si>
    <t>TOTAL MENSAL POR SERVENTE:</t>
  </si>
  <si>
    <t>SEM O PIS/COFINS (9,25%):</t>
  </si>
  <si>
    <t>EPI's</t>
  </si>
  <si>
    <t>Bota de borracha (Ocupacional) confeccionado em PVC injetado, impermeável, na cor preta, solado antiderrapante, acabamento interior em meia de poliéster, cano médio.</t>
  </si>
  <si>
    <t>Luva de látex cano longo</t>
  </si>
  <si>
    <t>Máscara Descartável para pó</t>
  </si>
  <si>
    <t>Sapatos de Segurança, Sapato em EVA com solado antiderrapante, fechado na parte do calcanhar e na parte superior, impermeável, resistente a absorção de energia elétrica, cor preta, em conformidade com NR-32.</t>
  </si>
  <si>
    <t>ENCARREGADO</t>
  </si>
  <si>
    <t>Bota de borracha (Ocupacional)confeccionado em PVC injetado, impermeável, na cor preta, solado antiderrapante, acabamento interior em meia de poliéster, cano médio.</t>
  </si>
  <si>
    <t xml:space="preserve"> </t>
  </si>
  <si>
    <t>MATERIAIS DE LIMPEZA - SANEANTES DOMISSANITÁRIOS</t>
  </si>
  <si>
    <t>ITEM</t>
  </si>
  <si>
    <t>PERIODICIDADE DE REPOSIÇÃO</t>
  </si>
  <si>
    <t>QUANTIDADES</t>
  </si>
  <si>
    <t>VALORES</t>
  </si>
  <si>
    <t>POR PERÍODO DE REPOSIÇÃO</t>
  </si>
  <si>
    <t>TOTAL ANUAL</t>
  </si>
  <si>
    <t>UNITÁRIO (PAINEL DE PREÇOS DO MPDG)</t>
  </si>
  <si>
    <t>TOTAL ANUAL POR ITEM</t>
  </si>
  <si>
    <t>ÁGUA SANITÁRIA, uso doméstico, a base de hipoclorito de sódio, com dados de identificação do produto, marca do fabricante, data de fabricação, prazo de validade e registro no Ministério da Saúde</t>
  </si>
  <si>
    <t>GALÃO COM 5 LITROS</t>
  </si>
  <si>
    <t>MENSAL</t>
  </si>
  <si>
    <t>ÁLCOOL ETÍLICO LIMPEZA DE AMBIENTES, TIPO ETÍLICO HIDRATADO, CONCENTRAÇÃO 70 POR CENTO (70 GL), COMPOSIÇÃO HIDROALCÓOLICA, APARÊNCIA VISUAL GEL, APLICAÇÃO PRODUTO LIMPEZA DOMÉSTICA</t>
  </si>
  <si>
    <t>ALCOOL ETILICO, HIDRATADO, CONCENTRACAO 70 POR CENTO (70 GL), ASPECTO FISICO LIQUIDO.</t>
  </si>
  <si>
    <t>CERA LÍQUIDA, cor: branca, características adicionais: autobrilho, resistente e antiestático, aplicação: tratamento de pisos</t>
  </si>
  <si>
    <t>DESINFETANTE para uso geral bruto, com ação germicida, bactericida e fungicida, super concentrado; com teores conforme programa de análise do INMETRO</t>
  </si>
  <si>
    <t>DESODORIZADOR de ambiente, desodorizador com essências, apresentação aerosol, aplicação aromatizador ambiental, características adicionais não contem CFC. Frasco 500 ml</t>
  </si>
  <si>
    <t>FRASCO COM 500 ML.</t>
  </si>
  <si>
    <t>DETERGENTE amoniacal para piso</t>
  </si>
  <si>
    <t>DETERGENTE de limpeza, composto de agente alcalino, soluente, detergente sintético linear, alquibenzeno, sulfonato de sódio, para remoção de gordura e sujeira em geral, contendo tensoativo biodegradável, OBS: NEUTRO.</t>
  </si>
  <si>
    <t>FRASCO 500 ML</t>
  </si>
  <si>
    <t>DISCO DE CERDAS 510mm, cor vermelha, compatível com lavadora/limpadora de piso.</t>
  </si>
  <si>
    <t>TRIMESTRAL</t>
  </si>
  <si>
    <t xml:space="preserve">DISCO DE FIBRA 310mm, cor verde, compatível com encerador industrial </t>
  </si>
  <si>
    <t xml:space="preserve">DISCO DE FIBRA 310mm, cor preta, compatível com encerador industrial </t>
  </si>
  <si>
    <t>DISCO DE FIBRA 510mm, cor verde, compatível com lavadora/limpadora de piso.</t>
  </si>
  <si>
    <t>ESPONJA DE FIBRA USO GERAL, tamanho: 225mmx101mmx110mm, cor verde</t>
  </si>
  <si>
    <t>PACOTE COM 10 UNIDADES</t>
  </si>
  <si>
    <t>ESPONJA PARA LIMPEZA, espuma/fibra, sintética, retangular, alta/mínima, limpeza geral, dupla face (uma macia e outra áspera).</t>
  </si>
  <si>
    <t>PACOTE COM 3 UNIDADES</t>
  </si>
  <si>
    <t>FLANELA, 100% algodão, branca para uso geral de 60 x 40 cm</t>
  </si>
  <si>
    <t>GASOLINA para roçadeira e soprador</t>
  </si>
  <si>
    <t>LITROS</t>
  </si>
  <si>
    <t>INSETICIDA, combate a pragas, aerossol em base aquosa multi plus, mínimo cheiro.</t>
  </si>
  <si>
    <t>FRASCO COM 300 ML</t>
  </si>
  <si>
    <t>LÂMINA BORRACHA (resistente a óleo), compatível com lavadora/limpadora de piso.</t>
  </si>
  <si>
    <t>PANO DE CHÃO de saco alvejado especial 50x70, para limpeza de piso - cor branca.</t>
  </si>
  <si>
    <t>PAPEL HIGIÊNICO, rolão com 300m x 10cm, 100% celulose virgem, folha dupla, cor branca, extramacio, não picotado, compatível com o modelo do dispenser</t>
  </si>
  <si>
    <t>FARDO COM 8 ROLOS</t>
  </si>
  <si>
    <t>PAPEL TOALHA, 20 x 20 cm inter-folhado com 1.000 folhas de alta absorção, cor branca, macias, absorventes e econômicas, maços embalados individualmente, compatível com o modelo do dispenser</t>
  </si>
  <si>
    <t>PACOTE COM 1000 FOLHAS</t>
  </si>
  <si>
    <t>REFIL DE BORRACHA para rodo em alumínio 50 cm</t>
  </si>
  <si>
    <t>REFIL DE BORRACHA para rodo em alumínio 60 cm</t>
  </si>
  <si>
    <t>REFIL DE BORRACHA para rodo em alumínio 80 cm</t>
  </si>
  <si>
    <t>REFIL LIMPADOR VIDRO, material: borracha, aplicação: rodo limpa-vidro, compatível com o kit de limpeza de vidros</t>
  </si>
  <si>
    <t>REFIL MOP úmido algodão compatível com o cabo.</t>
  </si>
  <si>
    <t>REFIL MOP seco algodão compatível com o cabo.</t>
  </si>
  <si>
    <t>SABÃO EM BARRA (Saponáceo), composição: sabão,quatzito,agente abrasivo, aplicação: limpeza, aspecto físico: barra de 200 gramas</t>
  </si>
  <si>
    <t>PACOTE COM 5 UNIDADES</t>
  </si>
  <si>
    <t>SABÃO EM PÓ (Saponáceo), para lavagem de roupas, Composição: alquil benzeno sulfato de sódio, corante, Fragrância Floral Embalagem com 1000 g, Embalagem com impressão do nome do fabricante e indicação de registro na ANVISA/MS. Tensoativo aniônico biodegradável. Prazo de validade impresso na embalagem e não inferior a 11 meses contados da data de recebimento definitivo</t>
  </si>
  <si>
    <t>SABONETE LÍQUIDO, perfumado, acidez neutro, aplicação saboneteira para sabonetes líquidos. Embalagem de 5 litros. Liberado pela ANVISA. com dados do fabricante, data de fabricação e prazo de validade e registro no Ministério da Saúde</t>
  </si>
  <si>
    <t>EMBALAGEM DE 5 LITROS</t>
  </si>
  <si>
    <t>SACO PLÁSTICO PARA LIXO 60 LITROS, Cor preta. Dimensões: 40 cm x 60 cm, podendo variar em + 5,0 cm Resistente ao peso mínimo de 5 kg deverá estar de acordo com as normas da ABNT NBR 9190,9191, 9195, 14474 e 13056.</t>
  </si>
  <si>
    <t>PACOTE COM 100 UNIDADES</t>
  </si>
  <si>
    <t>SACO PLÁSTICO PARA LIXO DE 100 LITROS, cor: preta, 7 micras, deverá estar de acordo com as normas da ABNT NBR 9190,9191, 9195, 14474 e 13056.</t>
  </si>
  <si>
    <t>SACO PLÁSTICO PARA LIXO DE 200 LITROS, cor: preta, largura: 90 cm, altura: 110 cm, características adicionais: reforçado, espessura: 12 micra micra, aplicação: coleta de lixo, material: polietileno</t>
  </si>
  <si>
    <t>SOLUÇÃO IMPERMEABILIZANTE PARA PISOS</t>
  </si>
  <si>
    <t>SOLUÇÃO DE LIMPEZA MULTIUSO CONCENTRADO, composição básica: aquilbenzeno, sulfonato de sódio, tensoativo não, aspecto físico: líquido, tipo uso: limpeza, aplicação: limpeza geral, cor: incolor</t>
  </si>
  <si>
    <t>SOLUÇÃO DE LIMPEZA MULTIUSO, composição básica: aquilbenzeno, sulfonato de sódio, tensoativo não, aspecto físico: líquido, tipo uso: limpeza, aplicação: limpeza geral, cor: incolor</t>
  </si>
  <si>
    <t>FRASCO COM 500 ML</t>
  </si>
  <si>
    <t>SOLUÇÃO DE LIMPEZA PARA INOX (limpa inox)</t>
  </si>
  <si>
    <t>FRASCO COM 1000 ML</t>
  </si>
  <si>
    <t>SOLUÇÃO DE LIMPEZA PARA MÓVEIS (lustrador móveis), componentes: cera microcristalina, óleo parafínico, silicone, a, aroma: lavanda, aplicação: móveis e superfícies lisas, aspecto físico: pastoso</t>
  </si>
  <si>
    <t>FRASCO COM 200 ML</t>
  </si>
  <si>
    <t>SOLUÇÃO DE LIMPEZA PARA PEDRA (limpa pedra)</t>
  </si>
  <si>
    <t>SOLUÇÃO DE LIMPEZA PARA VIDROS (limpa vidro)</t>
  </si>
  <si>
    <t>TOTAL ANUAL DOS MATERIAIS DE LIMPEZA - SANEANTES DOMISSANITÁRIOS:</t>
  </si>
  <si>
    <t>MATERIAIS COMPLEMENTARES - UTENSÍLIOS</t>
  </si>
  <si>
    <t>ESPANADOR, material penas, cabo madeira, comprimento cabo 40 cm, características adicionais torneado e reforçado.</t>
  </si>
  <si>
    <t>SEMESTRAL</t>
  </si>
  <si>
    <t>BALDE PLÁSTICO, capacidade 12 litros, cor preta</t>
  </si>
  <si>
    <t>BORRIFADOR, material: plástico, tipo: spray, contendo bico borrifador, capacidade: 500 ml, aplicação: acondicionar solução reveladora</t>
  </si>
  <si>
    <t>DISPENSER HIGIENIZADOR, material: plástico abs, capacidade: 800 ml, tipo fixação: parede, cor: branca, aplicação: mãos, características adicionais: visor frontal para álcool gel ou sabonete líquido</t>
  </si>
  <si>
    <t>DISPENSER PARA PAPEL TOALHA, material: plástico abs, tipo: interfolha, cor: branca, características adicionais:: fixação por bucha e parafusos, visor e chave, dimensões: 260 x 315 x 125 mm</t>
  </si>
  <si>
    <t>ESCOVA de Roupa, material corpo madeira, tratamento superficial envernizado, material cerdas sintético, cor cerdas branca e marrom. Tamanho aproximado 12 x 7 cm.</t>
  </si>
  <si>
    <t>ESCOVA de nylon para enceradeira industrial 350mm</t>
  </si>
  <si>
    <t>ANUAL</t>
  </si>
  <si>
    <t>ESCOVA para vaso sanitário</t>
  </si>
  <si>
    <t>ESPÁTULA MULTIUSO DE AÇO INOX 120mm</t>
  </si>
  <si>
    <t>EXTENSÃO ELÉTRICA com cabo pp 3x2,5mm com 50 m de comprimento (com suporte)</t>
  </si>
  <si>
    <t>MANGUEIRA DE BORRACHA ¾, medindo 50 mts comprimento.</t>
  </si>
  <si>
    <t>PÁ PARA LIXO com caixa coletora em polipropileno, com cabo 80 cm em alumínio/madeira</t>
  </si>
  <si>
    <t>PÁ PARA LIXO galvanizada com cabo alumínio/madeira</t>
  </si>
  <si>
    <t>PLACA DE SINALIZAÇÃO, descrição: CUIDADO PISO MOLHADO</t>
  </si>
  <si>
    <t>PLACA DE SINALIZAÇÃO, descrição: EM LIMPEZA</t>
  </si>
  <si>
    <t>PLACA DE SINALIZAÇÃO, descrição: EM MANUTENÇÃO</t>
  </si>
  <si>
    <t>PNEU COM CÂMARA DE AR Aro 3.5/8" para carrinho de mão</t>
  </si>
  <si>
    <t>PORTA PAPEL HIGIÊNICO, material: chapa zincada, largura: 12,50 cm, altura: 27 cm, características adicionais: p, rolo de 300 a 400 m, com dobradiça e fechadura, formato: redondo, instalação: fixo sobreposto na parede, cor: branca</t>
  </si>
  <si>
    <t>RODO 50 cm, em alumínio, com cabo em alumínio de 1,40 cm</t>
  </si>
  <si>
    <t>RODO 60 cm, em alumínio, com cabo em alumínio de 1,40 cm</t>
  </si>
  <si>
    <t>RODO 80 cm, em alumínio, com cabo em alumínio de 1,40 cm</t>
  </si>
  <si>
    <t>SUPORTE DE VELCRO para enceradeira industrial de 350mm s/ flange</t>
  </si>
  <si>
    <t>VASCULHADOR Para teto com cabo extensor</t>
  </si>
  <si>
    <t>VASSOURA DE JARDINAGEM, tipo: regulável, material cerdas: aço sae 1070, características adicionais: comprimento cabo: 120 cm,cerdas redondas, quantidade lâminas: 22 un</t>
  </si>
  <si>
    <t>VASSOURA, material cerdas náilon, material cabo de alumínio, comprimento cepa 30, comprimento cerdas 8 cm, com cabo, aplicação limpeza em geral.</t>
  </si>
  <si>
    <t>VASSOURA, material cerdas palha, material cepa madeira, comprimento cepa 15 cm, características adicionais com cabo madeira de 2 m, largura cepa 15 cm</t>
  </si>
  <si>
    <t>VASSOURA, material cerdas: piaçava, material cepa: chapa de aço, comprimento cepa: 21 cm, características adicionais: com cabo madeira</t>
  </si>
  <si>
    <t>Kit EPI para roçadeira, contendo 01 Boné Roçador laranja com protetor de nuca de 20cm e protetor facial em tela de nylon; 01 Protetor auricular laranja concha de 14DB; 01 Avental de Bagum branco medindo 1,10 cm de altura x 0,70cm de largura; 01 Luva de Couro Vaqueta e Nylon modelo Florestal; 01 Perneira em Couro sintético MFA na cor preta</t>
  </si>
  <si>
    <t>TOTAL ANUAL DOS MATERIAIS COMPLEMENTARES - UTENSÍLIOS:</t>
  </si>
  <si>
    <t>TOTAL GERAL ANUAL:</t>
  </si>
  <si>
    <t>TOTAL GERAL MENSAL:</t>
  </si>
  <si>
    <t>ESTIMATIVA DE PREÇOS - EQUIPAMENTOS</t>
  </si>
  <si>
    <t>DEPRECIAÇÃO E MANUTENÇÃO DE EQUIPAMENTOS E FERRAMENTAS</t>
  </si>
  <si>
    <t>DESCRIÇÃO</t>
  </si>
  <si>
    <t>QUANTIDADE</t>
  </si>
  <si>
    <t>VALOR UNITÁRIO ESTIMADO (PAINEL DE PREÇOS DO MPDG)</t>
  </si>
  <si>
    <t>VALOR UNITÁRIO ESTIMADO  (R$)</t>
  </si>
  <si>
    <t>VALOR TOTAL  (A)  (R$)</t>
  </si>
  <si>
    <t>MANUTENÇÃO MENSAL (B) (0,25% X A)  (R$)</t>
  </si>
  <si>
    <t>MESES DE VIDA ÚTIL ESTIMADA (D)</t>
  </si>
  <si>
    <t>DEPRECIAÇÃO (E) (A / D)  (R$)</t>
  </si>
  <si>
    <t>CUSTO MENSAL (B+C+D)  (R$)</t>
  </si>
  <si>
    <t>ASPIRADOR DE PÓ E LÍQUIDO de 1380W ou superior, tensão de 127V, frequencia de 60Hz, com reservatório resistente a óleo e capacidade mínima de 48L, acompanhado de mangueira prolongadora de 2,5m (modelo de referência NT 48/1 - KARCHER)</t>
  </si>
  <si>
    <t>CARRINHO DE MÃO 50 Litros</t>
  </si>
  <si>
    <t>CONTAINER DE LIXO com tampa e com rodas, capacidade de 240 litros</t>
  </si>
  <si>
    <t>CONTAINER DE LIXO com tampa e com rodas, capacidade de 1000 litros</t>
  </si>
  <si>
    <t>ESCADA EM ALUMÍNIO com 3 degraus</t>
  </si>
  <si>
    <t>ESCADA EM ALUMÍNIO com 8 degraus</t>
  </si>
  <si>
    <t>ENCERADEIRA INDUSTRIAL com discos 350mm com suporte para disco e escova de nylon + discos para lavar, bivolt.</t>
  </si>
  <si>
    <t>ENXADA 24 cm, com cabo de madeira 145cm</t>
  </si>
  <si>
    <t>FACÃO em aço carbono de 16"</t>
  </si>
  <si>
    <t xml:space="preserve">KIT DE JARDINAGEM PROFISSIONAL, contendo pá de mão pequena, pá de mão média, rastelo de mão, tesoura de poda pequena, tesoura de poda pequena, espeto para poda de pequenos galhos, foice pequena e luvas de proteção. </t>
  </si>
  <si>
    <t>KIT DE LIMPEZA DE VIDROS com bolsa, contendo extensão telescópica 1 a 3 metros, cabo de fixação, guia removível 15 cm, guia removível 25 cm, guia removível 35 cm, guia removível 45 cm, raspador de segurança, lâminas para raspador de segurança, raspador multiuso, lâminas para raspador multiuso, lavador de vidro 35 cm, luva para lavador 35 cm, lâmina de borracha 91 cm, suporte LT para uso de fibra, fibra macia, espanador eletrotático e adaptador angular (modelo de referência KIT MASTER KT903 - Bralimpia)</t>
  </si>
  <si>
    <t>KIT DE LIMPEZA PROFISSIONAL, contendo carro funcional, balde doblô 30 litros - 2 águas, cabo telescópico - 1,40 m, garra plástica, refi L Loop com cinta 320 g, placa sinalizadora piso molhado, Pá pop e conjunto Mop Pó - 60 cm (modelo de referência NYKT03 - Bralimpia)</t>
  </si>
  <si>
    <t>LAVADORA DE ALTA PRESSÃO PROFISSIONAL, tensão 127V, frequencia 60Hz, pressão 1740 PSI ou superior (modelo de referência K 3.98 M - KARCHER)</t>
  </si>
  <si>
    <t>LAVADORA E SECADORA DE PISO, potência de 1100W, produtividade de 3.000m²/h, para limpeza de áreas de até 3.000 m², com dois reservatórios (água limpa / água suja), compatível com escovas de 510mm, acompanhando de barra de aspiração em V, baterias e carregador (modelo de referência BG 86 C-E - KARCHER)</t>
  </si>
  <si>
    <t>MÁQUINA DE LAVAR (tanquinho) 10 kg, com 09 programas.</t>
  </si>
  <si>
    <t>ROÇADEIRA LATERAL a combustão com fio de corte, motor de 35 cilindradas e 2,20 cv, acompanhando de cinto de suporte (modelo de referência FS 220, TrimCut 41-2 (fio de corte) - STIHL)</t>
  </si>
  <si>
    <t>SERROTE DE PODA 14"</t>
  </si>
  <si>
    <t>SOPRADOR a combustão, motor de 27 cilindradas e 1,10 cv, acompanhando de cinto de suporte (modelo de referência BG 86 C-E - STIHL)</t>
  </si>
  <si>
    <t>TESOURÃO PARA PODA em aço carbono com cabo de madeira de 60cm</t>
  </si>
  <si>
    <t>TOTAL MENSAL:</t>
  </si>
  <si>
    <r>
      <rPr>
        <b/>
        <sz val="14"/>
        <color rgb="FFFFFFFF"/>
        <rFont val="Arial"/>
      </rPr>
      <t xml:space="preserve">ESTIMATIVA DE PREÇOS POR M² </t>
    </r>
    <r>
      <rPr>
        <b/>
        <sz val="9"/>
        <color rgb="FFFFFFFF"/>
        <rFont val="Arial"/>
      </rPr>
      <t xml:space="preserve">
(considerando as produtividades-padrão da IN SEGES nº 05/2017)</t>
    </r>
  </si>
  <si>
    <t>TOTAL DE POSTOS SUGERIDOS (INCLUSO LIMPEZA DOS BANHEIROS):</t>
  </si>
  <si>
    <t>TOTAL DE POSTOS SUGERIDOS PARA LIMPEZA DOS BANHEIROS:</t>
  </si>
  <si>
    <t>PREÇO TOTAL MENSAL:</t>
  </si>
  <si>
    <t>PREÇO TOTAL ANUAL:</t>
  </si>
  <si>
    <t>TIPO DE ÁREA</t>
  </si>
  <si>
    <t>DESCRIÇÃO DA ÁREA</t>
  </si>
  <si>
    <t>ÁREA (M²) (A)</t>
  </si>
  <si>
    <t>FREQUÊNCIA DE LIMPEZA</t>
  </si>
  <si>
    <t>PROD. ADOTADA (C)</t>
  </si>
  <si>
    <t>ÁREA AJUSTADA (D = A x B)</t>
  </si>
  <si>
    <t>Nº DE POSTOS SUGERIDOS (D/C)</t>
  </si>
  <si>
    <t>PREÇOS</t>
  </si>
  <si>
    <t>UNIT. POR M² 
(K = G + J)</t>
  </si>
  <si>
    <t>TOTAL POR TIPO DE ÁREA (D x K)</t>
  </si>
  <si>
    <t>QUANT. MÊS (B)</t>
  </si>
  <si>
    <t>PREÇO HOMEM-MÊS (E)</t>
  </si>
  <si>
    <t xml:space="preserve">PROD. (1/MÊS) 
(F = 1/C) </t>
  </si>
  <si>
    <t xml:space="preserve">SUBTOTAL 
(G = E + F) </t>
  </si>
  <si>
    <t>PREÇO HOMEM-MÊS (H)</t>
  </si>
  <si>
    <t xml:space="preserve">PROD. (1/MÊS) 
(I = 1/ (30 x C)) </t>
  </si>
  <si>
    <t xml:space="preserve">SUBTOTAL 
(J = H + I) </t>
  </si>
  <si>
    <t>INTERNA</t>
  </si>
  <si>
    <t>ADMINISTRATIVO, BIBLIOTECA, COPAS, MINI-AUDITÓRIOS E SALA DOS PROFESSORES</t>
  </si>
  <si>
    <t>DIARIAMENTE, UMA VEZ</t>
  </si>
  <si>
    <t>ARQUIVO PERMANENTE</t>
  </si>
  <si>
    <t>QUINZENALMENTE, UMA VEZ</t>
  </si>
  <si>
    <t>CIRCULAÇÃO INTERNA (CORREDORES E HALL'S DE ACESSO)</t>
  </si>
  <si>
    <t>DEPÓSITOS</t>
  </si>
  <si>
    <t>MENSALMENTE, UMA VEZ</t>
  </si>
  <si>
    <t>LABORATÓRIOS</t>
  </si>
  <si>
    <t>SALAS DE AULA</t>
  </si>
  <si>
    <t>DIARIAMENTE, TRÊS VEZES</t>
  </si>
  <si>
    <t>SALAS DE EQUIPAMENTOS (TI)</t>
  </si>
  <si>
    <t>QUADRAS POLIESPORTIVA</t>
  </si>
  <si>
    <t>INTERNA (BANHEIRO)</t>
  </si>
  <si>
    <t>BANHEIRO - ATÉ 20 PESSOAS</t>
  </si>
  <si>
    <t>BANHEIRO - ENTRE 21 E 40 PESSOAS</t>
  </si>
  <si>
    <t>DIARIAMENTE, DUAS VEZES</t>
  </si>
  <si>
    <t>BANHEIRO - ACIMA DE 60 PESSOAS</t>
  </si>
  <si>
    <t>DIARIAMENTE, QUATRO VEZES</t>
  </si>
  <si>
    <t>ESQUADRIA EXTERNA</t>
  </si>
  <si>
    <t>JANELAS (FACE INTERNA) E PORTAS (FACE INTERNA E EXTERNA)</t>
  </si>
  <si>
    <t>EXTERNA</t>
  </si>
  <si>
    <t>ÁREAS EXTERNAS COM PISO, ENTORNO DA PISCINA E PISTA DE ATLETISMO</t>
  </si>
  <si>
    <t>ÁREAS EXTERNAS COM VEGETAÇÃO</t>
  </si>
  <si>
    <t>SEMANALMENTE, UMA VEZ</t>
  </si>
  <si>
    <t>ESTACIONAMENTO E ÁREAS ADJACENTES</t>
  </si>
  <si>
    <t>QUADRA DE AREIA</t>
  </si>
  <si>
    <t>TOTAL:</t>
  </si>
  <si>
    <t>--------------</t>
  </si>
  <si>
    <r>
      <rPr>
        <b/>
        <sz val="9"/>
        <color theme="1"/>
        <rFont val="Arial"/>
      </rPr>
      <t xml:space="preserve">MEMÓRIA DE CÁLCULO: </t>
    </r>
    <r>
      <rPr>
        <sz val="9"/>
        <color theme="1"/>
        <rFont val="Arial"/>
      </rPr>
      <t xml:space="preserve">
- ÁREA AJUSTADA (D) = ÁREA (A) X FREQUÊNCIA DE LIMPEZA (B); 
- Nº DE POSTOS SUGERIDOS = ÁREA AJUSTADA (D) / PRODUTIVIDADE ADOTADA POR TIPO DE ÁREA (C)
- PRODUTIVIDADE DO SERVENTE (F) = 1 / PRODUTIVIDADE ADOTADA POR TIPO DE ÁREA (C); 
- CUSTO UNITÁRIO DO SERVENTE POR TIPO DE ÁREA (G) = PREÇO HOMEM-MÊS (E) X - PRODUTIVIDADE DO SERVENTE (F);
- PRODUTIVIDADE DO ENCARREGADO (I) = 1 / (30 X PRODUTIVIDADE ADOTADA POR TIPO DE ÁREA); 
- CUSTO UNITÁRIO DO ENCARREGADO POR TIPO DE ÁREA (J) = PREÇO HOMEM-MÊS (H) X PRODUTIVIDADE DO ENCARREGADO (I);
- CUSTO UNITÁRIO TOTAL POR TIPO DE ÁREA (K) = CUSTO UNITÁRIO DO SERVENTE POR TIPO DE ÁREA (G) + CUSTO UNITÁRIO DO ENCARREGADO POR TIPO DE ÁREA (J)
- CUSTO TOTAL POR TIPO DE ÁREA = ÁREA AJUSTADA (D) X CUSTO UNITÁRIO TOTAL POR TIPO DE ÁREA (K)</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</si>
</sst>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R$ -416]#,##0.00"/>
    <numFmt numFmtId="165" formatCode="d/m/yyyy"/>
    <numFmt numFmtId="166" formatCode="&quot;R$ &quot;#,##0.00"/>
    <numFmt numFmtId="167" formatCode="&quot;R$ &quot;#,##0.00;[Red]&quot;-R$ &quot;#,##0.00"/>
    <numFmt numFmtId="168" formatCode="&quot; R$ &quot;* #,##0.00\ ;&quot; R$ &quot;* \(#,##0.00\);&quot; R$ &quot;* \-#\ ;@\ "/>
    <numFmt numFmtId="169" formatCode="&quot; R$ &quot;* #,##0.00\ ;&quot;-R$ &quot;* #,##0.00\ ;&quot; R$ &quot;* \-#\ ;@\ "/>
    <numFmt numFmtId="170" formatCode="_([$R$ -416]* #,##0.00_);_([$R$ -416]* \(#,##0.00\);_([$R$ -416]* &quot;-&quot;??_);_(@_)"/>
    <numFmt numFmtId="171" formatCode="#,##0.000000"/>
  </numFmts>
  <fonts count="15" x14ac:knownFonts="1">
    <font>
      <sz val="10"/>
      <color rgb="FF000000"/>
      <name val="Arial"/>
    </font>
    <font>
      <b/>
      <sz val="14"/>
      <color rgb="FFFFFFFF"/>
      <name val="Arial"/>
    </font>
    <font>
      <sz val="10"/>
      <name val="Arial"/>
    </font>
    <font>
      <b/>
      <sz val="10"/>
      <color rgb="FF000000"/>
      <name val="Arial"/>
    </font>
    <font>
      <sz val="10"/>
      <color theme="1"/>
      <name val="Arial"/>
    </font>
    <font>
      <b/>
      <sz val="10"/>
      <color theme="1"/>
      <name val="Arial"/>
    </font>
    <font>
      <b/>
      <sz val="10"/>
      <color rgb="FFFFFFFF"/>
      <name val="Arial"/>
    </font>
    <font>
      <b/>
      <sz val="10"/>
      <color rgb="FF000000"/>
      <name val="Arial"/>
    </font>
    <font>
      <sz val="10"/>
      <color theme="1"/>
      <name val="Calibri"/>
    </font>
    <font>
      <sz val="10"/>
      <color theme="1"/>
      <name val="Arial"/>
    </font>
    <font>
      <sz val="10"/>
      <color theme="1"/>
      <name val="Calibri"/>
    </font>
    <font>
      <sz val="10"/>
      <color rgb="FF000000"/>
      <name val="Arial"/>
    </font>
    <font>
      <b/>
      <sz val="9"/>
      <color rgb="FFFFFFFF"/>
      <name val="Arial"/>
    </font>
    <font>
      <b/>
      <sz val="9"/>
      <color theme="1"/>
      <name val="Arial"/>
    </font>
    <font>
      <sz val="9"/>
      <color theme="1"/>
      <name val="Arial"/>
    </font>
  </fonts>
  <fills count="10">
    <fill>
      <patternFill patternType="none"/>
    </fill>
    <fill>
      <patternFill patternType="gray125"/>
    </fill>
    <fill>
      <patternFill patternType="solid">
        <fgColor rgb="FF38761D"/>
        <bgColor rgb="FF38761D"/>
      </patternFill>
    </fill>
    <fill>
      <patternFill patternType="solid">
        <fgColor rgb="FFD9EAD3"/>
        <bgColor rgb="FFD9EAD3"/>
      </patternFill>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
      <patternFill patternType="solid">
        <fgColor rgb="FFFFFF00"/>
        <bgColor rgb="FFFFFF00"/>
      </patternFill>
    </fill>
    <fill>
      <patternFill patternType="solid">
        <fgColor rgb="FF6AA84F"/>
        <bgColor rgb="FF6AA84F"/>
      </patternFill>
    </fill>
    <fill>
      <patternFill patternType="solid">
        <fgColor rgb="FFEFEFEF"/>
        <bgColor rgb="FFEFEFEF"/>
      </patternFill>
    </fill>
  </fills>
  <borders count="2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757070"/>
      </left>
      <right/>
      <top/>
      <bottom/>
      <diagonal/>
    </border>
    <border>
      <left/>
      <right/>
      <top/>
      <bottom/>
      <diagonal/>
    </border>
    <border>
      <left/>
      <right style="thin">
        <color rgb="FF757070"/>
      </right>
      <top/>
      <bottom/>
      <diagonal/>
    </border>
    <border>
      <left/>
      <right/>
      <top/>
      <bottom style="thin">
        <color rgb="FF757070"/>
      </bottom>
      <diagonal/>
    </border>
    <border>
      <left/>
      <right style="thin">
        <color rgb="FF757070"/>
      </right>
      <top/>
      <bottom style="thin">
        <color rgb="FF757070"/>
      </bottom>
      <diagonal/>
    </border>
    <border>
      <left/>
      <right/>
      <top/>
      <bottom/>
      <diagonal/>
    </border>
    <border>
      <left/>
      <right/>
      <top/>
      <bottom/>
      <diagonal/>
    </border>
  </borders>
  <cellStyleXfs count="1">
    <xf numFmtId="0" fontId="0" fillId="0" borderId="0"/>
  </cellStyleXfs>
  <cellXfs count="145">
    <xf numFmtId="0" fontId="0" fillId="0" borderId="0" xfId="0" applyFont="1" applyAlignment="1"/>
    <xf numFmtId="0" fontId="0" fillId="0" borderId="15" xfId="0" applyFont="1" applyBorder="1" applyAlignment="1">
      <alignment horizontal="center" vertical="center" wrapText="1"/>
    </xf>
    <xf numFmtId="164" fontId="0" fillId="0" borderId="15" xfId="0" applyNumberFormat="1" applyFont="1" applyBorder="1" applyAlignment="1">
      <alignment horizontal="center" vertical="center" wrapText="1"/>
    </xf>
    <xf numFmtId="165" fontId="0" fillId="0" borderId="15" xfId="0" applyNumberFormat="1" applyFont="1" applyBorder="1" applyAlignment="1">
      <alignment horizontal="center" vertical="center" wrapText="1"/>
    </xf>
    <xf numFmtId="0" fontId="3" fillId="4" borderId="15" xfId="0" applyFont="1" applyFill="1" applyBorder="1" applyAlignment="1">
      <alignment horizontal="center" vertical="center" wrapText="1"/>
    </xf>
    <xf numFmtId="166" fontId="0" fillId="5" borderId="15" xfId="0" applyNumberFormat="1" applyFont="1" applyFill="1" applyBorder="1" applyAlignment="1">
      <alignment horizontal="center" vertical="center" wrapText="1"/>
    </xf>
    <xf numFmtId="166" fontId="0" fillId="0" borderId="15" xfId="0" applyNumberFormat="1" applyFont="1" applyBorder="1" applyAlignment="1">
      <alignment horizontal="center" vertical="center" wrapText="1"/>
    </xf>
    <xf numFmtId="0" fontId="0" fillId="4" borderId="15" xfId="0" applyFont="1" applyFill="1" applyBorder="1" applyAlignment="1">
      <alignment horizontal="center" vertical="center" wrapText="1"/>
    </xf>
    <xf numFmtId="166" fontId="3" fillId="4" borderId="15" xfId="0" applyNumberFormat="1" applyFont="1" applyFill="1" applyBorder="1" applyAlignment="1">
      <alignment horizontal="center" vertical="center" wrapText="1"/>
    </xf>
    <xf numFmtId="0" fontId="0" fillId="0" borderId="15" xfId="0" applyFont="1" applyBorder="1" applyAlignment="1">
      <alignment vertical="center" wrapText="1"/>
    </xf>
    <xf numFmtId="0" fontId="3" fillId="6" borderId="15" xfId="0" applyFont="1" applyFill="1" applyBorder="1" applyAlignment="1">
      <alignment horizontal="center" vertical="center" wrapText="1"/>
    </xf>
    <xf numFmtId="166" fontId="3" fillId="0" borderId="15" xfId="0" applyNumberFormat="1" applyFont="1" applyBorder="1" applyAlignment="1">
      <alignment horizontal="center" vertical="center" wrapText="1"/>
    </xf>
    <xf numFmtId="0" fontId="3" fillId="4" borderId="15" xfId="0" applyFont="1" applyFill="1" applyBorder="1" applyAlignment="1">
      <alignment vertical="center" wrapText="1"/>
    </xf>
    <xf numFmtId="10" fontId="0" fillId="0" borderId="15" xfId="0" applyNumberFormat="1" applyFont="1" applyBorder="1" applyAlignment="1">
      <alignment horizontal="center" vertical="center" wrapText="1"/>
    </xf>
    <xf numFmtId="10" fontId="3" fillId="4" borderId="15" xfId="0" applyNumberFormat="1" applyFont="1" applyFill="1" applyBorder="1" applyAlignment="1">
      <alignment horizontal="center" vertical="center" wrapText="1"/>
    </xf>
    <xf numFmtId="167" fontId="0" fillId="5"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166" fontId="3" fillId="0" borderId="15" xfId="0" applyNumberFormat="1" applyFont="1" applyBorder="1" applyAlignment="1">
      <alignment horizontal="center" vertical="center"/>
    </xf>
    <xf numFmtId="10" fontId="0" fillId="7" borderId="15" xfId="0" applyNumberFormat="1" applyFont="1" applyFill="1" applyBorder="1" applyAlignment="1">
      <alignment horizontal="center" vertical="center" wrapText="1"/>
    </xf>
    <xf numFmtId="166" fontId="3" fillId="6" borderId="15" xfId="0" applyNumberFormat="1" applyFont="1" applyFill="1" applyBorder="1" applyAlignment="1">
      <alignment horizontal="center" vertical="center" wrapText="1"/>
    </xf>
    <xf numFmtId="0" fontId="0" fillId="4" borderId="15" xfId="0" applyFont="1" applyFill="1" applyBorder="1" applyAlignment="1">
      <alignment vertical="center" wrapText="1"/>
    </xf>
    <xf numFmtId="166" fontId="3" fillId="3" borderId="15" xfId="0" applyNumberFormat="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5" fillId="6" borderId="15" xfId="0" applyFont="1" applyFill="1" applyBorder="1" applyAlignment="1">
      <alignment horizontal="center" vertical="center"/>
    </xf>
    <xf numFmtId="0" fontId="5" fillId="6" borderId="15"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0" fillId="0" borderId="15" xfId="0" applyFont="1" applyBorder="1" applyAlignment="1">
      <alignment horizontal="left" wrapText="1"/>
    </xf>
    <xf numFmtId="10" fontId="4" fillId="0" borderId="15"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5" fillId="0" borderId="15" xfId="0" applyNumberFormat="1" applyFont="1" applyBorder="1" applyAlignment="1">
      <alignment horizontal="center" vertical="center"/>
    </xf>
    <xf numFmtId="0" fontId="5" fillId="0" borderId="0" xfId="0" applyFont="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vertical="center" wrapText="1"/>
    </xf>
    <xf numFmtId="3" fontId="0" fillId="0" borderId="15" xfId="0" applyNumberFormat="1" applyFont="1" applyBorder="1" applyAlignment="1">
      <alignment horizontal="center" vertical="center" wrapText="1"/>
    </xf>
    <xf numFmtId="168" fontId="0" fillId="0" borderId="15" xfId="0" applyNumberFormat="1" applyFont="1" applyBorder="1" applyAlignment="1">
      <alignment horizontal="center" vertical="center" wrapText="1"/>
    </xf>
    <xf numFmtId="168" fontId="5" fillId="3" borderId="19" xfId="0" applyNumberFormat="1" applyFont="1" applyFill="1" applyBorder="1" applyAlignment="1">
      <alignment horizontal="right" vertical="center" wrapText="1"/>
    </xf>
    <xf numFmtId="168" fontId="5" fillId="6" borderId="19" xfId="0" applyNumberFormat="1" applyFont="1" applyFill="1" applyBorder="1" applyAlignment="1">
      <alignment horizontal="right" vertical="center" wrapText="1"/>
    </xf>
    <xf numFmtId="0" fontId="9" fillId="0" borderId="18" xfId="0" applyFont="1" applyBorder="1"/>
    <xf numFmtId="0" fontId="9" fillId="0" borderId="18" xfId="0" applyFont="1" applyBorder="1" applyAlignment="1">
      <alignment wrapText="1"/>
    </xf>
    <xf numFmtId="0" fontId="10" fillId="0" borderId="0" xfId="0" applyFont="1" applyAlignment="1">
      <alignment vertical="center"/>
    </xf>
    <xf numFmtId="0" fontId="4" fillId="0" borderId="0" xfId="0" applyFont="1" applyAlignment="1">
      <alignment horizontal="center" vertical="center" wrapText="1"/>
    </xf>
    <xf numFmtId="0" fontId="11" fillId="0" borderId="18" xfId="0" applyFont="1" applyBorder="1" applyAlignment="1">
      <alignment vertical="center" wrapText="1"/>
    </xf>
    <xf numFmtId="0" fontId="11" fillId="0" borderId="11" xfId="0" applyFont="1" applyBorder="1" applyAlignment="1">
      <alignment horizontal="center" vertical="center" wrapText="1"/>
    </xf>
    <xf numFmtId="3" fontId="11" fillId="0" borderId="11" xfId="0" applyNumberFormat="1" applyFont="1" applyBorder="1" applyAlignment="1">
      <alignment horizontal="center" vertical="center"/>
    </xf>
    <xf numFmtId="0" fontId="11" fillId="0" borderId="11" xfId="0" applyFont="1" applyBorder="1" applyAlignment="1">
      <alignment horizontal="center" vertical="center"/>
    </xf>
    <xf numFmtId="0" fontId="11" fillId="5" borderId="18" xfId="0" applyFont="1" applyFill="1" applyBorder="1" applyAlignment="1">
      <alignment horizontal="left" wrapText="1"/>
    </xf>
    <xf numFmtId="0" fontId="11" fillId="5" borderId="15" xfId="0" applyFont="1" applyFill="1" applyBorder="1" applyAlignment="1">
      <alignment horizontal="left" wrapText="1"/>
    </xf>
    <xf numFmtId="0" fontId="9" fillId="0" borderId="15" xfId="0" applyFont="1" applyBorder="1" applyAlignment="1">
      <alignment horizontal="left"/>
    </xf>
    <xf numFmtId="0" fontId="9" fillId="0" borderId="18" xfId="0" applyFont="1" applyBorder="1" applyAlignment="1">
      <alignment horizontal="left"/>
    </xf>
    <xf numFmtId="168" fontId="5" fillId="3" borderId="15" xfId="0" applyNumberFormat="1" applyFont="1" applyFill="1" applyBorder="1" applyAlignment="1">
      <alignment vertical="center" wrapText="1"/>
    </xf>
    <xf numFmtId="168" fontId="6" fillId="8" borderId="15" xfId="0" applyNumberFormat="1" applyFont="1" applyFill="1" applyBorder="1" applyAlignment="1">
      <alignment vertical="center" wrapText="1"/>
    </xf>
    <xf numFmtId="169" fontId="5" fillId="6" borderId="15" xfId="0" applyNumberFormat="1" applyFont="1" applyFill="1" applyBorder="1" applyAlignment="1">
      <alignment horizontal="right"/>
    </xf>
    <xf numFmtId="0" fontId="5" fillId="3"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70" fontId="4" fillId="0" borderId="15" xfId="0" applyNumberFormat="1" applyFont="1" applyBorder="1" applyAlignment="1">
      <alignment horizontal="center" vertical="center"/>
    </xf>
    <xf numFmtId="4" fontId="4" fillId="3" borderId="15" xfId="0" applyNumberFormat="1" applyFont="1" applyFill="1" applyBorder="1" applyAlignment="1">
      <alignment horizontal="center" vertical="center"/>
    </xf>
    <xf numFmtId="1" fontId="4" fillId="3" borderId="15" xfId="0" applyNumberFormat="1" applyFont="1" applyFill="1" applyBorder="1" applyAlignment="1">
      <alignment horizontal="center" vertical="center" wrapText="1"/>
    </xf>
    <xf numFmtId="170" fontId="4" fillId="3" borderId="15" xfId="0" applyNumberFormat="1" applyFont="1" applyFill="1" applyBorder="1" applyAlignment="1">
      <alignment horizontal="center" vertical="center"/>
    </xf>
    <xf numFmtId="0" fontId="9" fillId="0" borderId="18" xfId="0" applyFont="1" applyBorder="1" applyAlignment="1">
      <alignment horizontal="left" wrapText="1"/>
    </xf>
    <xf numFmtId="0" fontId="9" fillId="0" borderId="15" xfId="0" applyFont="1" applyBorder="1" applyAlignment="1">
      <alignment wrapText="1"/>
    </xf>
    <xf numFmtId="0" fontId="4" fillId="0" borderId="18" xfId="0" applyFont="1" applyBorder="1" applyAlignment="1">
      <alignment horizontal="left" vertical="center" wrapText="1"/>
    </xf>
    <xf numFmtId="169" fontId="6" fillId="8" borderId="15" xfId="0" applyNumberFormat="1" applyFont="1" applyFill="1" applyBorder="1" applyAlignment="1">
      <alignment horizontal="center" wrapText="1"/>
    </xf>
    <xf numFmtId="4" fontId="9" fillId="0" borderId="0" xfId="0" applyNumberFormat="1" applyFont="1" applyAlignment="1">
      <alignment vertical="center"/>
    </xf>
    <xf numFmtId="4" fontId="13" fillId="3" borderId="15" xfId="0" applyNumberFormat="1" applyFont="1" applyFill="1" applyBorder="1" applyAlignment="1">
      <alignment horizontal="center" vertical="center" wrapText="1"/>
    </xf>
    <xf numFmtId="4" fontId="14" fillId="0" borderId="15" xfId="0" applyNumberFormat="1" applyFont="1" applyBorder="1" applyAlignment="1">
      <alignment horizontal="center" vertical="center" wrapText="1"/>
    </xf>
    <xf numFmtId="3" fontId="14" fillId="0" borderId="15" xfId="0" applyNumberFormat="1" applyFont="1" applyBorder="1" applyAlignment="1">
      <alignment horizontal="center" vertical="center"/>
    </xf>
    <xf numFmtId="4" fontId="14" fillId="0" borderId="15" xfId="0" applyNumberFormat="1" applyFont="1" applyBorder="1" applyAlignment="1">
      <alignment horizontal="center" vertical="center"/>
    </xf>
    <xf numFmtId="171" fontId="14" fillId="0" borderId="15" xfId="0" applyNumberFormat="1" applyFont="1" applyBorder="1" applyAlignment="1">
      <alignment horizontal="center" vertical="center"/>
    </xf>
    <xf numFmtId="164" fontId="14" fillId="0" borderId="15" xfId="0" applyNumberFormat="1" applyFont="1" applyBorder="1" applyAlignment="1">
      <alignment horizontal="center" vertical="center"/>
    </xf>
    <xf numFmtId="4" fontId="14" fillId="9" borderId="15" xfId="0" applyNumberFormat="1" applyFont="1" applyFill="1" applyBorder="1" applyAlignment="1">
      <alignment horizontal="center" vertical="center" wrapText="1"/>
    </xf>
    <xf numFmtId="3" fontId="14" fillId="9" borderId="15" xfId="0" applyNumberFormat="1" applyFont="1" applyFill="1" applyBorder="1" applyAlignment="1">
      <alignment horizontal="center" vertical="center"/>
    </xf>
    <xf numFmtId="4" fontId="14" fillId="9" borderId="15" xfId="0" applyNumberFormat="1" applyFont="1" applyFill="1" applyBorder="1" applyAlignment="1">
      <alignment horizontal="center" vertical="center"/>
    </xf>
    <xf numFmtId="171" fontId="14" fillId="9" borderId="15" xfId="0" applyNumberFormat="1" applyFont="1" applyFill="1" applyBorder="1" applyAlignment="1">
      <alignment horizontal="center" vertical="center"/>
    </xf>
    <xf numFmtId="164" fontId="14" fillId="9" borderId="15" xfId="0" applyNumberFormat="1" applyFont="1" applyFill="1" applyBorder="1" applyAlignment="1">
      <alignment horizontal="center" vertical="center"/>
    </xf>
    <xf numFmtId="4" fontId="13" fillId="3" borderId="15" xfId="0" applyNumberFormat="1" applyFont="1" applyFill="1" applyBorder="1" applyAlignment="1">
      <alignment horizontal="center" vertical="center"/>
    </xf>
    <xf numFmtId="164" fontId="13" fillId="3" borderId="15" xfId="0" applyNumberFormat="1" applyFont="1" applyFill="1" applyBorder="1" applyAlignment="1">
      <alignment horizontal="center" vertical="center"/>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3" borderId="1" xfId="0" applyFont="1" applyFill="1" applyBorder="1" applyAlignment="1">
      <alignment horizontal="center"/>
    </xf>
    <xf numFmtId="0" fontId="0" fillId="0" borderId="4" xfId="0" applyFont="1" applyBorder="1" applyAlignment="1">
      <alignment vertical="center" wrapText="1"/>
    </xf>
    <xf numFmtId="0" fontId="2" fillId="0" borderId="5" xfId="0" applyFont="1" applyBorder="1"/>
    <xf numFmtId="0" fontId="2" fillId="0" borderId="6" xfId="0" applyFont="1" applyBorder="1"/>
    <xf numFmtId="0" fontId="3" fillId="0" borderId="7" xfId="0" applyFont="1" applyBorder="1" applyAlignment="1">
      <alignment horizontal="center" wrapText="1"/>
    </xf>
    <xf numFmtId="0" fontId="0" fillId="0" borderId="0" xfId="0" applyFont="1" applyAlignment="1"/>
    <xf numFmtId="0" fontId="2" fillId="0" borderId="8" xfId="0" applyFont="1" applyBorder="1"/>
    <xf numFmtId="0" fontId="0" fillId="0" borderId="7" xfId="0" applyFont="1" applyBorder="1" applyAlignment="1">
      <alignment horizontal="center"/>
    </xf>
    <xf numFmtId="0" fontId="2" fillId="0" borderId="7" xfId="0" applyFont="1" applyBorder="1"/>
    <xf numFmtId="0" fontId="0" fillId="0" borderId="9" xfId="0" applyFont="1" applyBorder="1" applyAlignment="1">
      <alignment horizontal="center" vertical="center"/>
    </xf>
    <xf numFmtId="0" fontId="2" fillId="0" borderId="10" xfId="0" applyFont="1" applyBorder="1"/>
    <xf numFmtId="0" fontId="2" fillId="0" borderId="11" xfId="0" applyFont="1" applyBorder="1"/>
    <xf numFmtId="0" fontId="3" fillId="3" borderId="12" xfId="0" applyFont="1" applyFill="1" applyBorder="1" applyAlignment="1">
      <alignment horizontal="center"/>
    </xf>
    <xf numFmtId="0" fontId="2" fillId="0" borderId="13" xfId="0" applyFont="1" applyBorder="1"/>
    <xf numFmtId="0" fontId="2" fillId="0" borderId="14" xfId="0" applyFont="1" applyBorder="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left" vertical="center" wrapText="1"/>
    </xf>
    <xf numFmtId="0" fontId="3" fillId="3"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wrapText="1"/>
    </xf>
    <xf numFmtId="10" fontId="0" fillId="0" borderId="16" xfId="0" applyNumberFormat="1" applyFont="1" applyBorder="1" applyAlignment="1">
      <alignment horizontal="center" vertical="center" wrapText="1"/>
    </xf>
    <xf numFmtId="0" fontId="2" fillId="0" borderId="18" xfId="0" applyFont="1" applyBorder="1"/>
    <xf numFmtId="166" fontId="0" fillId="0" borderId="16" xfId="0" applyNumberFormat="1" applyFont="1" applyBorder="1" applyAlignment="1">
      <alignment horizontal="center" vertical="center" wrapText="1"/>
    </xf>
    <xf numFmtId="0" fontId="0" fillId="0" borderId="16" xfId="0" applyFont="1" applyBorder="1" applyAlignment="1">
      <alignment horizontal="center" vertical="center" wrapText="1"/>
    </xf>
    <xf numFmtId="0" fontId="2" fillId="0" borderId="17" xfId="0" applyFont="1" applyBorder="1"/>
    <xf numFmtId="0" fontId="3" fillId="3" borderId="1" xfId="0" applyFont="1" applyFill="1" applyBorder="1" applyAlignment="1">
      <alignment horizontal="center" vertical="center" wrapText="1"/>
    </xf>
    <xf numFmtId="0" fontId="0" fillId="0" borderId="1" xfId="0" applyFont="1" applyBorder="1" applyAlignment="1">
      <alignment horizontal="center" wrapText="1"/>
    </xf>
    <xf numFmtId="0" fontId="0" fillId="0" borderId="1" xfId="0" applyFont="1" applyBorder="1" applyAlignment="1">
      <alignment horizontal="left" wrapText="1"/>
    </xf>
    <xf numFmtId="0" fontId="3" fillId="0" borderId="1" xfId="0" applyFont="1" applyBorder="1" applyAlignment="1">
      <alignment horizontal="left" vertical="center" wrapText="1"/>
    </xf>
    <xf numFmtId="0" fontId="5" fillId="6"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21" xfId="0" applyFont="1" applyBorder="1"/>
    <xf numFmtId="0" fontId="2" fillId="0" borderId="22" xfId="0" applyFont="1" applyBorder="1"/>
    <xf numFmtId="0" fontId="5" fillId="3" borderId="1" xfId="0" applyFont="1" applyFill="1" applyBorder="1" applyAlignment="1">
      <alignment horizontal="right" vertical="center" wrapText="1"/>
    </xf>
    <xf numFmtId="0" fontId="7" fillId="6" borderId="1" xfId="0" applyFont="1" applyFill="1" applyBorder="1" applyAlignment="1">
      <alignment horizontal="right"/>
    </xf>
    <xf numFmtId="0" fontId="8" fillId="0" borderId="23" xfId="0" applyFont="1" applyBorder="1" applyAlignment="1">
      <alignment vertical="center"/>
    </xf>
    <xf numFmtId="0" fontId="2" fillId="0" borderId="23" xfId="0" applyFont="1" applyBorder="1"/>
    <xf numFmtId="0" fontId="2" fillId="0" borderId="24" xfId="0" applyFont="1" applyBorder="1"/>
    <xf numFmtId="0" fontId="5" fillId="3" borderId="25" xfId="0" applyFont="1" applyFill="1" applyBorder="1" applyAlignment="1">
      <alignment horizontal="center" vertical="center" wrapText="1"/>
    </xf>
    <xf numFmtId="0" fontId="2" fillId="0" borderId="26" xfId="0" applyFont="1" applyBorder="1"/>
    <xf numFmtId="0" fontId="6" fillId="8" borderId="1"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8" borderId="1" xfId="0" applyFont="1" applyFill="1" applyBorder="1" applyAlignment="1">
      <alignment horizontal="right" wrapText="1"/>
    </xf>
    <xf numFmtId="0" fontId="5" fillId="3" borderId="1" xfId="0" applyFont="1" applyFill="1" applyBorder="1" applyAlignment="1">
      <alignment horizontal="center" vertical="center" wrapText="1"/>
    </xf>
    <xf numFmtId="0" fontId="12" fillId="2" borderId="4" xfId="0" applyFont="1" applyFill="1" applyBorder="1" applyAlignment="1">
      <alignment horizontal="center" vertical="center"/>
    </xf>
    <xf numFmtId="4" fontId="13" fillId="3" borderId="1" xfId="0" applyNumberFormat="1" applyFont="1" applyFill="1" applyBorder="1" applyAlignment="1">
      <alignment horizontal="right" vertical="center" wrapText="1"/>
    </xf>
    <xf numFmtId="4" fontId="13" fillId="3" borderId="1" xfId="0" applyNumberFormat="1" applyFont="1" applyFill="1" applyBorder="1" applyAlignment="1">
      <alignment horizontal="center" vertical="center" wrapText="1"/>
    </xf>
    <xf numFmtId="164" fontId="13" fillId="3" borderId="1" xfId="0" applyNumberFormat="1" applyFont="1" applyFill="1" applyBorder="1" applyAlignment="1">
      <alignment horizontal="center" vertical="center" wrapText="1"/>
    </xf>
    <xf numFmtId="4" fontId="13" fillId="3" borderId="16" xfId="0" applyNumberFormat="1" applyFont="1" applyFill="1" applyBorder="1" applyAlignment="1">
      <alignment horizontal="center" vertical="center" wrapText="1"/>
    </xf>
    <xf numFmtId="4" fontId="14" fillId="0" borderId="16" xfId="0" applyNumberFormat="1" applyFont="1" applyBorder="1" applyAlignment="1">
      <alignment horizontal="center" vertical="center" wrapText="1"/>
    </xf>
    <xf numFmtId="4" fontId="14" fillId="9" borderId="16" xfId="0" applyNumberFormat="1" applyFont="1" applyFill="1" applyBorder="1" applyAlignment="1">
      <alignment horizontal="center" vertical="center" wrapText="1"/>
    </xf>
    <xf numFmtId="4" fontId="13" fillId="3" borderId="1" xfId="0" applyNumberFormat="1" applyFont="1" applyFill="1" applyBorder="1" applyAlignment="1">
      <alignment horizontal="right" vertical="center"/>
    </xf>
    <xf numFmtId="4" fontId="13" fillId="3" borderId="1" xfId="0" applyNumberFormat="1" applyFont="1" applyFill="1" applyBorder="1" applyAlignment="1">
      <alignment horizontal="center" vertical="center"/>
    </xf>
    <xf numFmtId="4" fontId="14" fillId="0" borderId="0" xfId="0" applyNumberFormat="1" applyFont="1" applyAlignment="1">
      <alignment horizontal="left" vertical="center"/>
    </xf>
    <xf numFmtId="4" fontId="13" fillId="3" borderId="4" xfId="0" applyNumberFormat="1" applyFont="1" applyFill="1" applyBorder="1" applyAlignment="1">
      <alignment horizontal="center" vertical="center" wrapText="1"/>
    </xf>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topLeftCell="A139" workbookViewId="0">
      <selection sqref="A1:D1"/>
    </sheetView>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78" t="s">
        <v>0</v>
      </c>
      <c r="B1" s="79"/>
      <c r="C1" s="79"/>
      <c r="D1" s="80"/>
    </row>
    <row r="2" spans="1:4" ht="12.75" customHeight="1" x14ac:dyDescent="0.2">
      <c r="A2" s="81" t="s">
        <v>1</v>
      </c>
      <c r="B2" s="79"/>
      <c r="C2" s="79"/>
      <c r="D2" s="80"/>
    </row>
    <row r="3" spans="1:4" ht="12.75" customHeight="1" x14ac:dyDescent="0.2">
      <c r="A3" s="82"/>
      <c r="B3" s="83"/>
      <c r="C3" s="83"/>
      <c r="D3" s="84"/>
    </row>
    <row r="4" spans="1:4" ht="12.75" customHeight="1" x14ac:dyDescent="0.2">
      <c r="A4" s="85" t="s">
        <v>2</v>
      </c>
      <c r="B4" s="86"/>
      <c r="C4" s="86"/>
      <c r="D4" s="87"/>
    </row>
    <row r="5" spans="1:4" ht="12.75" customHeight="1" x14ac:dyDescent="0.2">
      <c r="A5" s="85" t="s">
        <v>3</v>
      </c>
      <c r="B5" s="86"/>
      <c r="C5" s="86"/>
      <c r="D5" s="87"/>
    </row>
    <row r="6" spans="1:4" ht="12.75" customHeight="1" x14ac:dyDescent="0.2">
      <c r="A6" s="88"/>
      <c r="B6" s="86"/>
      <c r="C6" s="86"/>
      <c r="D6" s="87"/>
    </row>
    <row r="7" spans="1:4" ht="12.75" customHeight="1" x14ac:dyDescent="0.2">
      <c r="A7" s="89"/>
      <c r="B7" s="86"/>
      <c r="C7" s="86"/>
      <c r="D7" s="87"/>
    </row>
    <row r="8" spans="1:4" ht="12.75" customHeight="1" x14ac:dyDescent="0.2">
      <c r="A8" s="90"/>
      <c r="B8" s="91"/>
      <c r="C8" s="91"/>
      <c r="D8" s="92"/>
    </row>
    <row r="9" spans="1:4" ht="13.5" customHeight="1" x14ac:dyDescent="0.2">
      <c r="A9" s="93" t="s">
        <v>4</v>
      </c>
      <c r="B9" s="94"/>
      <c r="C9" s="94"/>
      <c r="D9" s="95"/>
    </row>
    <row r="10" spans="1:4" ht="12.75" customHeight="1" x14ac:dyDescent="0.2">
      <c r="A10" s="1" t="s">
        <v>5</v>
      </c>
      <c r="B10" s="96" t="s">
        <v>6</v>
      </c>
      <c r="C10" s="80"/>
      <c r="D10" s="1"/>
    </row>
    <row r="11" spans="1:4" ht="12.75" customHeight="1" x14ac:dyDescent="0.2">
      <c r="A11" s="1" t="s">
        <v>7</v>
      </c>
      <c r="B11" s="96" t="s">
        <v>8</v>
      </c>
      <c r="C11" s="80"/>
      <c r="D11" s="1" t="s">
        <v>9</v>
      </c>
    </row>
    <row r="12" spans="1:4" ht="12.75" customHeight="1" x14ac:dyDescent="0.2">
      <c r="A12" s="1" t="s">
        <v>10</v>
      </c>
      <c r="B12" s="96" t="s">
        <v>11</v>
      </c>
      <c r="C12" s="80"/>
      <c r="D12" s="1" t="s">
        <v>12</v>
      </c>
    </row>
    <row r="13" spans="1:4" ht="12.75" customHeight="1" x14ac:dyDescent="0.2">
      <c r="A13" s="1" t="s">
        <v>13</v>
      </c>
      <c r="B13" s="96" t="s">
        <v>14</v>
      </c>
      <c r="C13" s="80"/>
      <c r="D13" s="1">
        <v>12</v>
      </c>
    </row>
    <row r="14" spans="1:4" ht="12.75" customHeight="1" x14ac:dyDescent="0.2">
      <c r="A14" s="97"/>
      <c r="B14" s="79"/>
      <c r="C14" s="79"/>
      <c r="D14" s="80"/>
    </row>
    <row r="15" spans="1:4" ht="12.75" customHeight="1" x14ac:dyDescent="0.2">
      <c r="A15" s="93" t="s">
        <v>15</v>
      </c>
      <c r="B15" s="94"/>
      <c r="C15" s="94"/>
      <c r="D15" s="95"/>
    </row>
    <row r="16" spans="1:4" ht="12.75" customHeight="1" x14ac:dyDescent="0.2">
      <c r="A16" s="98" t="s">
        <v>16</v>
      </c>
      <c r="B16" s="79"/>
      <c r="C16" s="79"/>
      <c r="D16" s="80"/>
    </row>
    <row r="17" spans="1:4" ht="12.75" customHeight="1" x14ac:dyDescent="0.2">
      <c r="A17" s="96" t="s">
        <v>17</v>
      </c>
      <c r="B17" s="79"/>
      <c r="C17" s="79"/>
      <c r="D17" s="80"/>
    </row>
    <row r="18" spans="1:4" ht="12.75" customHeight="1" x14ac:dyDescent="0.2">
      <c r="A18" s="97"/>
      <c r="B18" s="79"/>
      <c r="C18" s="79"/>
      <c r="D18" s="80"/>
    </row>
    <row r="19" spans="1:4" ht="20.25" customHeight="1" x14ac:dyDescent="0.2">
      <c r="A19" s="99" t="s">
        <v>18</v>
      </c>
      <c r="B19" s="79"/>
      <c r="C19" s="79"/>
      <c r="D19" s="80"/>
    </row>
    <row r="20" spans="1:4" ht="12.75" customHeight="1" x14ac:dyDescent="0.2">
      <c r="A20" s="100" t="s">
        <v>19</v>
      </c>
      <c r="B20" s="79"/>
      <c r="C20" s="79"/>
      <c r="D20" s="80"/>
    </row>
    <row r="21" spans="1:4" ht="15.75" customHeight="1" x14ac:dyDescent="0.2">
      <c r="A21" s="98" t="s">
        <v>20</v>
      </c>
      <c r="B21" s="79"/>
      <c r="C21" s="79"/>
      <c r="D21" s="80"/>
    </row>
    <row r="22" spans="1:4" ht="12.75" x14ac:dyDescent="0.2">
      <c r="A22" s="1">
        <v>1</v>
      </c>
      <c r="B22" s="101" t="s">
        <v>21</v>
      </c>
      <c r="C22" s="80"/>
      <c r="D22" s="1" t="str">
        <f>A17</f>
        <v>Limpeza e Conservação</v>
      </c>
    </row>
    <row r="23" spans="1:4" ht="12.75" customHeight="1" x14ac:dyDescent="0.2">
      <c r="A23" s="1">
        <v>2</v>
      </c>
      <c r="B23" s="101" t="s">
        <v>22</v>
      </c>
      <c r="C23" s="80"/>
      <c r="D23" s="1" t="s">
        <v>23</v>
      </c>
    </row>
    <row r="24" spans="1:4" ht="12.75" customHeight="1" x14ac:dyDescent="0.2">
      <c r="A24" s="1">
        <v>3</v>
      </c>
      <c r="B24" s="101" t="s">
        <v>24</v>
      </c>
      <c r="C24" s="80"/>
      <c r="D24" s="2">
        <v>2051.44</v>
      </c>
    </row>
    <row r="25" spans="1:4" ht="27.75" customHeight="1" x14ac:dyDescent="0.2">
      <c r="A25" s="1">
        <v>4</v>
      </c>
      <c r="B25" s="101" t="s">
        <v>25</v>
      </c>
      <c r="C25" s="80"/>
      <c r="D25" s="1" t="str">
        <f>A2</f>
        <v>ENCARREGADO (44 HORAS de segunda a sábado)</v>
      </c>
    </row>
    <row r="26" spans="1:4" ht="12.75" customHeight="1" x14ac:dyDescent="0.2">
      <c r="A26" s="1">
        <v>5</v>
      </c>
      <c r="B26" s="101" t="s">
        <v>26</v>
      </c>
      <c r="C26" s="80"/>
      <c r="D26" s="3">
        <v>44197</v>
      </c>
    </row>
    <row r="27" spans="1:4" ht="12.75" customHeight="1" x14ac:dyDescent="0.2">
      <c r="A27" s="97"/>
      <c r="B27" s="79"/>
      <c r="C27" s="79"/>
      <c r="D27" s="80"/>
    </row>
    <row r="28" spans="1:4" ht="12.75" customHeight="1" x14ac:dyDescent="0.2">
      <c r="A28" s="102" t="s">
        <v>27</v>
      </c>
      <c r="B28" s="79"/>
      <c r="C28" s="79"/>
      <c r="D28" s="80"/>
    </row>
    <row r="29" spans="1:4" ht="12.75" customHeight="1" x14ac:dyDescent="0.2">
      <c r="A29" s="4">
        <v>1</v>
      </c>
      <c r="B29" s="98" t="s">
        <v>28</v>
      </c>
      <c r="C29" s="80"/>
      <c r="D29" s="4" t="s">
        <v>29</v>
      </c>
    </row>
    <row r="30" spans="1:4" ht="12.75" customHeight="1" x14ac:dyDescent="0.2">
      <c r="A30" s="1" t="s">
        <v>5</v>
      </c>
      <c r="B30" s="101" t="s">
        <v>30</v>
      </c>
      <c r="C30" s="80"/>
      <c r="D30" s="5">
        <f>D24</f>
        <v>2051.44</v>
      </c>
    </row>
    <row r="31" spans="1:4" ht="12.75" customHeight="1" x14ac:dyDescent="0.2">
      <c r="A31" s="1" t="s">
        <v>7</v>
      </c>
      <c r="B31" s="101" t="s">
        <v>31</v>
      </c>
      <c r="C31" s="80"/>
      <c r="D31" s="6">
        <v>0</v>
      </c>
    </row>
    <row r="32" spans="1:4" ht="18" customHeight="1" x14ac:dyDescent="0.2">
      <c r="A32" s="1" t="s">
        <v>10</v>
      </c>
      <c r="B32" s="101" t="s">
        <v>32</v>
      </c>
      <c r="C32" s="80"/>
      <c r="D32" s="6">
        <v>0</v>
      </c>
    </row>
    <row r="33" spans="1:4" ht="36.75" customHeight="1" x14ac:dyDescent="0.2">
      <c r="A33" s="1" t="s">
        <v>13</v>
      </c>
      <c r="B33" s="101" t="s">
        <v>33</v>
      </c>
      <c r="C33" s="80"/>
      <c r="D33" s="6">
        <v>0</v>
      </c>
    </row>
    <row r="34" spans="1:4" ht="24.75" customHeight="1" x14ac:dyDescent="0.2">
      <c r="A34" s="1" t="s">
        <v>34</v>
      </c>
      <c r="B34" s="101" t="s">
        <v>35</v>
      </c>
      <c r="C34" s="80"/>
      <c r="D34" s="6">
        <v>0</v>
      </c>
    </row>
    <row r="35" spans="1:4" ht="32.25" customHeight="1" x14ac:dyDescent="0.2">
      <c r="A35" s="1" t="s">
        <v>36</v>
      </c>
      <c r="B35" s="101" t="s">
        <v>37</v>
      </c>
      <c r="C35" s="80"/>
      <c r="D35" s="6">
        <v>0</v>
      </c>
    </row>
    <row r="36" spans="1:4" ht="26.25" customHeight="1" x14ac:dyDescent="0.2">
      <c r="A36" s="1" t="s">
        <v>38</v>
      </c>
      <c r="B36" s="101" t="s">
        <v>39</v>
      </c>
      <c r="C36" s="80"/>
      <c r="D36" s="6">
        <v>0</v>
      </c>
    </row>
    <row r="37" spans="1:4" ht="12.75" customHeight="1" x14ac:dyDescent="0.2">
      <c r="A37" s="1" t="s">
        <v>40</v>
      </c>
      <c r="B37" s="101" t="s">
        <v>41</v>
      </c>
      <c r="C37" s="80"/>
      <c r="D37" s="6">
        <v>0</v>
      </c>
    </row>
    <row r="38" spans="1:4" ht="12.75" customHeight="1" x14ac:dyDescent="0.2">
      <c r="A38" s="1" t="s">
        <v>42</v>
      </c>
      <c r="B38" s="101" t="s">
        <v>43</v>
      </c>
      <c r="C38" s="80"/>
      <c r="D38" s="6">
        <v>0</v>
      </c>
    </row>
    <row r="39" spans="1:4" ht="12.75" customHeight="1" x14ac:dyDescent="0.2">
      <c r="A39" s="7"/>
      <c r="B39" s="98" t="s">
        <v>44</v>
      </c>
      <c r="C39" s="80"/>
      <c r="D39" s="8">
        <f>SUM(D30:D38)</f>
        <v>2051.44</v>
      </c>
    </row>
    <row r="40" spans="1:4" ht="12.75" customHeight="1" x14ac:dyDescent="0.2">
      <c r="A40" s="96" t="s">
        <v>45</v>
      </c>
      <c r="B40" s="79"/>
      <c r="C40" s="79"/>
      <c r="D40" s="80"/>
    </row>
    <row r="41" spans="1:4" ht="12.75" customHeight="1" x14ac:dyDescent="0.2">
      <c r="A41" s="97"/>
      <c r="B41" s="79"/>
      <c r="C41" s="79"/>
      <c r="D41" s="80"/>
    </row>
    <row r="42" spans="1:4" ht="12.75" customHeight="1" x14ac:dyDescent="0.2">
      <c r="A42" s="102" t="s">
        <v>46</v>
      </c>
      <c r="B42" s="79"/>
      <c r="C42" s="79"/>
      <c r="D42" s="80"/>
    </row>
    <row r="43" spans="1:4" ht="12.75" customHeight="1" x14ac:dyDescent="0.2">
      <c r="A43" s="103" t="s">
        <v>47</v>
      </c>
      <c r="B43" s="79"/>
      <c r="C43" s="79"/>
      <c r="D43" s="80"/>
    </row>
    <row r="44" spans="1:4" ht="12.75" customHeight="1" x14ac:dyDescent="0.2">
      <c r="A44" s="4" t="s">
        <v>48</v>
      </c>
      <c r="B44" s="98" t="s">
        <v>49</v>
      </c>
      <c r="C44" s="80"/>
      <c r="D44" s="4" t="s">
        <v>29</v>
      </c>
    </row>
    <row r="45" spans="1:4" ht="25.5" x14ac:dyDescent="0.2">
      <c r="A45" s="1" t="s">
        <v>5</v>
      </c>
      <c r="B45" s="9" t="s">
        <v>50</v>
      </c>
      <c r="C45" s="10" t="s">
        <v>51</v>
      </c>
      <c r="D45" s="6">
        <f>D39*0.0833</f>
        <v>170.884952</v>
      </c>
    </row>
    <row r="46" spans="1:4" ht="25.5" x14ac:dyDescent="0.2">
      <c r="A46" s="1" t="s">
        <v>7</v>
      </c>
      <c r="B46" s="9" t="s">
        <v>52</v>
      </c>
      <c r="C46" s="10" t="s">
        <v>51</v>
      </c>
      <c r="D46" s="6">
        <f>D39*0.0278</f>
        <v>57.030031999999999</v>
      </c>
    </row>
    <row r="47" spans="1:4" ht="12.75" customHeight="1" x14ac:dyDescent="0.2">
      <c r="A47" s="104" t="s">
        <v>53</v>
      </c>
      <c r="B47" s="79"/>
      <c r="C47" s="80"/>
      <c r="D47" s="11">
        <f>SUM(D45:D46)</f>
        <v>227.914984</v>
      </c>
    </row>
    <row r="48" spans="1:4" ht="25.5" x14ac:dyDescent="0.2">
      <c r="A48" s="1" t="s">
        <v>10</v>
      </c>
      <c r="B48" s="9" t="s">
        <v>54</v>
      </c>
      <c r="C48" s="10" t="s">
        <v>51</v>
      </c>
      <c r="D48" s="6">
        <f>(D45+D46)*C61</f>
        <v>90.710163632000018</v>
      </c>
    </row>
    <row r="49" spans="1:4" ht="12.75" customHeight="1" x14ac:dyDescent="0.2">
      <c r="A49" s="98" t="s">
        <v>55</v>
      </c>
      <c r="B49" s="79"/>
      <c r="C49" s="80"/>
      <c r="D49" s="8">
        <f>D47+D48</f>
        <v>318.62514763199999</v>
      </c>
    </row>
    <row r="50" spans="1:4" ht="55.5" customHeight="1" x14ac:dyDescent="0.2">
      <c r="A50" s="101" t="s">
        <v>56</v>
      </c>
      <c r="B50" s="79"/>
      <c r="C50" s="79"/>
      <c r="D50" s="80"/>
    </row>
    <row r="51" spans="1:4" ht="12.75" customHeight="1" x14ac:dyDescent="0.2">
      <c r="A51" s="100" t="s">
        <v>57</v>
      </c>
      <c r="B51" s="79"/>
      <c r="C51" s="79"/>
      <c r="D51" s="80"/>
    </row>
    <row r="52" spans="1:4" ht="12.75" customHeight="1" x14ac:dyDescent="0.2">
      <c r="A52" s="4" t="s">
        <v>58</v>
      </c>
      <c r="B52" s="12" t="s">
        <v>59</v>
      </c>
      <c r="C52" s="4" t="s">
        <v>60</v>
      </c>
      <c r="D52" s="4" t="s">
        <v>29</v>
      </c>
    </row>
    <row r="53" spans="1:4" ht="12.75" customHeight="1" x14ac:dyDescent="0.2">
      <c r="A53" s="1" t="s">
        <v>5</v>
      </c>
      <c r="B53" s="9" t="s">
        <v>61</v>
      </c>
      <c r="C53" s="13">
        <v>0.2</v>
      </c>
      <c r="D53" s="6">
        <f t="shared" ref="D53:D60" si="0">C53*$D$39</f>
        <v>410.28800000000001</v>
      </c>
    </row>
    <row r="54" spans="1:4" ht="12.75" customHeight="1" x14ac:dyDescent="0.2">
      <c r="A54" s="1" t="s">
        <v>7</v>
      </c>
      <c r="B54" s="9" t="s">
        <v>62</v>
      </c>
      <c r="C54" s="13">
        <v>2.5000000000000001E-2</v>
      </c>
      <c r="D54" s="6">
        <f t="shared" si="0"/>
        <v>51.286000000000001</v>
      </c>
    </row>
    <row r="55" spans="1:4" ht="12.75" customHeight="1" x14ac:dyDescent="0.2">
      <c r="A55" s="1" t="s">
        <v>10</v>
      </c>
      <c r="B55" s="9" t="s">
        <v>63</v>
      </c>
      <c r="C55" s="13">
        <v>0.06</v>
      </c>
      <c r="D55" s="6">
        <f t="shared" si="0"/>
        <v>123.0864</v>
      </c>
    </row>
    <row r="56" spans="1:4" ht="12.75" customHeight="1" x14ac:dyDescent="0.2">
      <c r="A56" s="1" t="s">
        <v>13</v>
      </c>
      <c r="B56" s="9" t="s">
        <v>64</v>
      </c>
      <c r="C56" s="13">
        <v>1.4999999999999999E-2</v>
      </c>
      <c r="D56" s="6">
        <f t="shared" si="0"/>
        <v>30.771599999999999</v>
      </c>
    </row>
    <row r="57" spans="1:4" ht="12.75" customHeight="1" x14ac:dyDescent="0.2">
      <c r="A57" s="1" t="s">
        <v>34</v>
      </c>
      <c r="B57" s="9" t="s">
        <v>65</v>
      </c>
      <c r="C57" s="13">
        <v>0.01</v>
      </c>
      <c r="D57" s="6">
        <f t="shared" si="0"/>
        <v>20.514400000000002</v>
      </c>
    </row>
    <row r="58" spans="1:4" ht="12.75" customHeight="1" x14ac:dyDescent="0.2">
      <c r="A58" s="1" t="s">
        <v>36</v>
      </c>
      <c r="B58" s="9" t="s">
        <v>66</v>
      </c>
      <c r="C58" s="13">
        <v>6.0000000000000001E-3</v>
      </c>
      <c r="D58" s="6">
        <f t="shared" si="0"/>
        <v>12.30864</v>
      </c>
    </row>
    <row r="59" spans="1:4" ht="12.75" customHeight="1" x14ac:dyDescent="0.2">
      <c r="A59" s="1" t="s">
        <v>38</v>
      </c>
      <c r="B59" s="9" t="s">
        <v>67</v>
      </c>
      <c r="C59" s="13">
        <v>2E-3</v>
      </c>
      <c r="D59" s="6">
        <f t="shared" si="0"/>
        <v>4.1028799999999999</v>
      </c>
    </row>
    <row r="60" spans="1:4" ht="12.75" customHeight="1" x14ac:dyDescent="0.2">
      <c r="A60" s="1" t="s">
        <v>40</v>
      </c>
      <c r="B60" s="9" t="s">
        <v>68</v>
      </c>
      <c r="C60" s="13">
        <v>0.08</v>
      </c>
      <c r="D60" s="6">
        <f t="shared" si="0"/>
        <v>164.11520000000002</v>
      </c>
    </row>
    <row r="61" spans="1:4" ht="12.75" customHeight="1" x14ac:dyDescent="0.2">
      <c r="A61" s="7"/>
      <c r="B61" s="12" t="s">
        <v>69</v>
      </c>
      <c r="C61" s="14">
        <f t="shared" ref="C61:D61" si="1">SUM(C53:C60)</f>
        <v>0.39800000000000008</v>
      </c>
      <c r="D61" s="8">
        <f t="shared" si="1"/>
        <v>816.47312000000011</v>
      </c>
    </row>
    <row r="62" spans="1:4" ht="12.75" customHeight="1" x14ac:dyDescent="0.2">
      <c r="A62" s="105"/>
      <c r="B62" s="79"/>
      <c r="C62" s="79"/>
      <c r="D62" s="80"/>
    </row>
    <row r="63" spans="1:4" ht="12.75" customHeight="1" x14ac:dyDescent="0.2">
      <c r="A63" s="103" t="s">
        <v>70</v>
      </c>
      <c r="B63" s="79"/>
      <c r="C63" s="79"/>
      <c r="D63" s="80"/>
    </row>
    <row r="64" spans="1:4" ht="12.75" customHeight="1" x14ac:dyDescent="0.2">
      <c r="A64" s="4" t="s">
        <v>71</v>
      </c>
      <c r="B64" s="98" t="s">
        <v>72</v>
      </c>
      <c r="C64" s="80"/>
      <c r="D64" s="4" t="s">
        <v>29</v>
      </c>
    </row>
    <row r="65" spans="1:4" ht="12.75" customHeight="1" x14ac:dyDescent="0.2">
      <c r="A65" s="1" t="s">
        <v>5</v>
      </c>
      <c r="B65" s="101" t="s">
        <v>73</v>
      </c>
      <c r="C65" s="80"/>
      <c r="D65" s="15">
        <f>4.1*2*22-(0.06*D30)</f>
        <v>57.31359999999998</v>
      </c>
    </row>
    <row r="66" spans="1:4" ht="16.5" customHeight="1" x14ac:dyDescent="0.2">
      <c r="A66" s="1" t="s">
        <v>7</v>
      </c>
      <c r="B66" s="101" t="s">
        <v>74</v>
      </c>
      <c r="C66" s="80"/>
      <c r="D66" s="5">
        <f>(16*21.083)-(16*21.083)*0.05</f>
        <v>320.46159999999998</v>
      </c>
    </row>
    <row r="67" spans="1:4" ht="24" customHeight="1" x14ac:dyDescent="0.2">
      <c r="A67" s="1" t="s">
        <v>10</v>
      </c>
      <c r="B67" s="101" t="s">
        <v>75</v>
      </c>
      <c r="C67" s="80"/>
      <c r="D67" s="5">
        <v>0</v>
      </c>
    </row>
    <row r="68" spans="1:4" ht="16.5" customHeight="1" x14ac:dyDescent="0.2">
      <c r="A68" s="1" t="s">
        <v>13</v>
      </c>
      <c r="B68" s="101" t="s">
        <v>76</v>
      </c>
      <c r="C68" s="80"/>
      <c r="D68" s="5">
        <v>0</v>
      </c>
    </row>
    <row r="69" spans="1:4" ht="27" customHeight="1" x14ac:dyDescent="0.2">
      <c r="A69" s="1" t="s">
        <v>34</v>
      </c>
      <c r="B69" s="101" t="s">
        <v>77</v>
      </c>
      <c r="C69" s="80"/>
      <c r="D69" s="5">
        <f>4.2+10.2+13+10.2+11.4</f>
        <v>48.999999999999993</v>
      </c>
    </row>
    <row r="70" spans="1:4" ht="27" customHeight="1" x14ac:dyDescent="0.2">
      <c r="A70" s="1" t="s">
        <v>36</v>
      </c>
      <c r="B70" s="101" t="s">
        <v>78</v>
      </c>
      <c r="C70" s="80"/>
      <c r="D70" s="5">
        <v>120</v>
      </c>
    </row>
    <row r="71" spans="1:4" ht="16.5" customHeight="1" x14ac:dyDescent="0.2">
      <c r="A71" s="1" t="s">
        <v>38</v>
      </c>
      <c r="B71" s="101" t="s">
        <v>79</v>
      </c>
      <c r="C71" s="80"/>
      <c r="D71" s="6">
        <v>0</v>
      </c>
    </row>
    <row r="72" spans="1:4" ht="16.5" customHeight="1" x14ac:dyDescent="0.2">
      <c r="A72" s="98" t="s">
        <v>80</v>
      </c>
      <c r="B72" s="79"/>
      <c r="C72" s="80"/>
      <c r="D72" s="8">
        <f>SUM(D65:D71)</f>
        <v>546.77519999999993</v>
      </c>
    </row>
    <row r="73" spans="1:4" ht="44.25" customHeight="1" x14ac:dyDescent="0.2">
      <c r="A73" s="101" t="s">
        <v>81</v>
      </c>
      <c r="B73" s="79"/>
      <c r="C73" s="79"/>
      <c r="D73" s="80"/>
    </row>
    <row r="74" spans="1:4" ht="16.5" customHeight="1" x14ac:dyDescent="0.2">
      <c r="A74" s="103" t="s">
        <v>82</v>
      </c>
      <c r="B74" s="79"/>
      <c r="C74" s="79"/>
      <c r="D74" s="80"/>
    </row>
    <row r="75" spans="1:4" ht="12.75" customHeight="1" x14ac:dyDescent="0.2">
      <c r="A75" s="4">
        <v>2</v>
      </c>
      <c r="B75" s="98" t="s">
        <v>83</v>
      </c>
      <c r="C75" s="80"/>
      <c r="D75" s="4" t="s">
        <v>29</v>
      </c>
    </row>
    <row r="76" spans="1:4" ht="12.75" customHeight="1" x14ac:dyDescent="0.2">
      <c r="A76" s="1" t="s">
        <v>48</v>
      </c>
      <c r="B76" s="101" t="s">
        <v>49</v>
      </c>
      <c r="C76" s="80"/>
      <c r="D76" s="6">
        <f>D49</f>
        <v>318.62514763199999</v>
      </c>
    </row>
    <row r="77" spans="1:4" ht="16.5" customHeight="1" x14ac:dyDescent="0.2">
      <c r="A77" s="1" t="s">
        <v>58</v>
      </c>
      <c r="B77" s="101" t="s">
        <v>59</v>
      </c>
      <c r="C77" s="80"/>
      <c r="D77" s="6">
        <f>D61</f>
        <v>816.47312000000011</v>
      </c>
    </row>
    <row r="78" spans="1:4" ht="16.5" customHeight="1" x14ac:dyDescent="0.2">
      <c r="A78" s="1" t="s">
        <v>71</v>
      </c>
      <c r="B78" s="101" t="s">
        <v>72</v>
      </c>
      <c r="C78" s="80"/>
      <c r="D78" s="6">
        <f>D72</f>
        <v>546.77519999999993</v>
      </c>
    </row>
    <row r="79" spans="1:4" ht="16.5" customHeight="1" x14ac:dyDescent="0.2">
      <c r="A79" s="98" t="s">
        <v>84</v>
      </c>
      <c r="B79" s="79"/>
      <c r="C79" s="80"/>
      <c r="D79" s="8">
        <f>SUM(D76:D78)</f>
        <v>1681.873467632</v>
      </c>
    </row>
    <row r="80" spans="1:4" ht="12.75" customHeight="1" x14ac:dyDescent="0.2">
      <c r="A80" s="105"/>
      <c r="B80" s="79"/>
      <c r="C80" s="79"/>
      <c r="D80" s="80"/>
    </row>
    <row r="81" spans="1:4" ht="16.5" customHeight="1" x14ac:dyDescent="0.2">
      <c r="A81" s="102" t="s">
        <v>85</v>
      </c>
      <c r="B81" s="79"/>
      <c r="C81" s="79"/>
      <c r="D81" s="80"/>
    </row>
    <row r="82" spans="1:4" ht="12.75" customHeight="1" x14ac:dyDescent="0.2">
      <c r="A82" s="4">
        <v>3</v>
      </c>
      <c r="B82" s="98" t="s">
        <v>86</v>
      </c>
      <c r="C82" s="80"/>
      <c r="D82" s="4" t="s">
        <v>29</v>
      </c>
    </row>
    <row r="83" spans="1:4" ht="66.75" customHeight="1" x14ac:dyDescent="0.2">
      <c r="A83" s="1" t="s">
        <v>5</v>
      </c>
      <c r="B83" s="101" t="s">
        <v>87</v>
      </c>
      <c r="C83" s="80"/>
      <c r="D83" s="6">
        <f>ROUND((($D$39/12)+($D$45/12)+($D$39/12/12)+($D$46/12))*(30/30)*0.05,2)</f>
        <v>10.210000000000001</v>
      </c>
    </row>
    <row r="84" spans="1:4" ht="26.25" customHeight="1" x14ac:dyDescent="0.2">
      <c r="A84" s="1" t="s">
        <v>7</v>
      </c>
      <c r="B84" s="101" t="s">
        <v>88</v>
      </c>
      <c r="C84" s="80"/>
      <c r="D84" s="6">
        <f>(D83*C60)</f>
        <v>0.81680000000000008</v>
      </c>
    </row>
    <row r="85" spans="1:4" ht="25.5" x14ac:dyDescent="0.2">
      <c r="A85" s="1" t="s">
        <v>10</v>
      </c>
      <c r="B85" s="16" t="s">
        <v>89</v>
      </c>
      <c r="C85" s="10" t="s">
        <v>51</v>
      </c>
      <c r="D85" s="5">
        <f>ROUND(0.08*0.4*($D$39+$D$45+$D$46+$D$96)*0.05,2)</f>
        <v>3.97</v>
      </c>
    </row>
    <row r="86" spans="1:4" ht="26.25" customHeight="1" x14ac:dyDescent="0.2">
      <c r="A86" s="1" t="s">
        <v>13</v>
      </c>
      <c r="B86" s="101" t="s">
        <v>90</v>
      </c>
      <c r="C86" s="80"/>
      <c r="D86" s="6">
        <f>D39*0.0194</f>
        <v>39.797936</v>
      </c>
    </row>
    <row r="87" spans="1:4" ht="30.75" customHeight="1" x14ac:dyDescent="0.2">
      <c r="A87" s="1" t="s">
        <v>34</v>
      </c>
      <c r="B87" s="101" t="s">
        <v>91</v>
      </c>
      <c r="C87" s="80"/>
      <c r="D87" s="6">
        <f>D86*C61</f>
        <v>15.839578528000002</v>
      </c>
    </row>
    <row r="88" spans="1:4" ht="30.75" customHeight="1" x14ac:dyDescent="0.2">
      <c r="A88" s="1" t="s">
        <v>36</v>
      </c>
      <c r="B88" s="16" t="s">
        <v>92</v>
      </c>
      <c r="C88" s="10" t="s">
        <v>51</v>
      </c>
      <c r="D88" s="6">
        <f>ROUND(0.08*0.4*($D$39+$D$45+$D$46+$D$96)*1,2)</f>
        <v>79.47</v>
      </c>
    </row>
    <row r="89" spans="1:4" ht="12.75" customHeight="1" x14ac:dyDescent="0.2">
      <c r="A89" s="98" t="s">
        <v>93</v>
      </c>
      <c r="B89" s="79"/>
      <c r="C89" s="80"/>
      <c r="D89" s="8">
        <f>SUM(D83+D84+D85+D86+D87+D88)</f>
        <v>150.104314528</v>
      </c>
    </row>
    <row r="90" spans="1:4" ht="12.75" customHeight="1" x14ac:dyDescent="0.2">
      <c r="A90" s="105"/>
      <c r="B90" s="79"/>
      <c r="C90" s="79"/>
      <c r="D90" s="80"/>
    </row>
    <row r="91" spans="1:4" ht="16.5" customHeight="1" x14ac:dyDescent="0.2">
      <c r="A91" s="102" t="s">
        <v>94</v>
      </c>
      <c r="B91" s="79"/>
      <c r="C91" s="79"/>
      <c r="D91" s="80"/>
    </row>
    <row r="92" spans="1:4" ht="39.75" customHeight="1" x14ac:dyDescent="0.2">
      <c r="A92" s="114" t="s">
        <v>95</v>
      </c>
      <c r="B92" s="79"/>
      <c r="C92" s="79"/>
      <c r="D92" s="80"/>
    </row>
    <row r="93" spans="1:4" ht="47.25" customHeight="1" x14ac:dyDescent="0.2">
      <c r="A93" s="115" t="s">
        <v>96</v>
      </c>
      <c r="B93" s="79"/>
      <c r="C93" s="80"/>
      <c r="D93" s="17">
        <f>ROUND(D39/12,2)+D39+D45+D46</f>
        <v>2450.3049839999999</v>
      </c>
    </row>
    <row r="94" spans="1:4" ht="12.75" customHeight="1" x14ac:dyDescent="0.2">
      <c r="A94" s="100" t="s">
        <v>97</v>
      </c>
      <c r="B94" s="79"/>
      <c r="C94" s="79"/>
      <c r="D94" s="80"/>
    </row>
    <row r="95" spans="1:4" ht="12.75" customHeight="1" x14ac:dyDescent="0.2">
      <c r="A95" s="4" t="s">
        <v>98</v>
      </c>
      <c r="B95" s="98" t="s">
        <v>99</v>
      </c>
      <c r="C95" s="80"/>
      <c r="D95" s="4" t="s">
        <v>29</v>
      </c>
    </row>
    <row r="96" spans="1:4" ht="12.75" customHeight="1" x14ac:dyDescent="0.2">
      <c r="A96" s="1" t="s">
        <v>5</v>
      </c>
      <c r="B96" s="101" t="s">
        <v>100</v>
      </c>
      <c r="C96" s="80"/>
      <c r="D96" s="6">
        <f>D93*0.0833</f>
        <v>204.11040516719999</v>
      </c>
    </row>
    <row r="97" spans="1:4" ht="16.5" customHeight="1" x14ac:dyDescent="0.2">
      <c r="A97" s="1" t="s">
        <v>7</v>
      </c>
      <c r="B97" s="101" t="s">
        <v>101</v>
      </c>
      <c r="C97" s="80"/>
      <c r="D97" s="6">
        <f>($D$93/30/12)*1</f>
        <v>6.806402733333333</v>
      </c>
    </row>
    <row r="98" spans="1:4" ht="16.5" customHeight="1" x14ac:dyDescent="0.2">
      <c r="A98" s="1" t="s">
        <v>10</v>
      </c>
      <c r="B98" s="101" t="s">
        <v>102</v>
      </c>
      <c r="C98" s="80"/>
      <c r="D98" s="6">
        <f>(($D$93/30/12)*5)*0.015</f>
        <v>0.51048020499999991</v>
      </c>
    </row>
    <row r="99" spans="1:4" ht="16.5" customHeight="1" x14ac:dyDescent="0.2">
      <c r="A99" s="1" t="s">
        <v>13</v>
      </c>
      <c r="B99" s="101" t="s">
        <v>103</v>
      </c>
      <c r="C99" s="80"/>
      <c r="D99" s="6">
        <f>(($D$93/30/12)*30)*0.08</f>
        <v>16.335366560000001</v>
      </c>
    </row>
    <row r="100" spans="1:4" ht="16.5" customHeight="1" x14ac:dyDescent="0.2">
      <c r="A100" s="1" t="s">
        <v>34</v>
      </c>
      <c r="B100" s="101" t="s">
        <v>104</v>
      </c>
      <c r="C100" s="80"/>
      <c r="D100" s="6">
        <f>(($D$93/30/12)*5)*0.4</f>
        <v>13.612805466666666</v>
      </c>
    </row>
    <row r="101" spans="1:4" ht="24.75" customHeight="1" x14ac:dyDescent="0.2">
      <c r="A101" s="1" t="s">
        <v>36</v>
      </c>
      <c r="B101" s="101" t="s">
        <v>105</v>
      </c>
      <c r="C101" s="80"/>
      <c r="D101" s="5">
        <f>(D96+D97+D98+D99+D100)*C61</f>
        <v>96.067433132615605</v>
      </c>
    </row>
    <row r="102" spans="1:4" ht="41.25" customHeight="1" x14ac:dyDescent="0.2">
      <c r="A102" s="1" t="s">
        <v>38</v>
      </c>
      <c r="B102" s="16" t="s">
        <v>106</v>
      </c>
      <c r="C102" s="10" t="s">
        <v>51</v>
      </c>
      <c r="D102" s="6">
        <f>(((D39+(D39/3))*(4/12))/12)*0.02</f>
        <v>1.5195851851851854</v>
      </c>
    </row>
    <row r="103" spans="1:4" ht="46.5" customHeight="1" x14ac:dyDescent="0.2">
      <c r="A103" s="1" t="s">
        <v>40</v>
      </c>
      <c r="B103" s="16" t="s">
        <v>107</v>
      </c>
      <c r="C103" s="10" t="s">
        <v>51</v>
      </c>
      <c r="D103" s="6">
        <f>D102*C61</f>
        <v>0.60479490370370392</v>
      </c>
    </row>
    <row r="104" spans="1:4" ht="39" customHeight="1" x14ac:dyDescent="0.2">
      <c r="A104" s="1" t="s">
        <v>42</v>
      </c>
      <c r="B104" s="16" t="s">
        <v>108</v>
      </c>
      <c r="C104" s="10" t="s">
        <v>51</v>
      </c>
      <c r="D104" s="6">
        <f>(((D39+(D39/12))*(4/12))*0.02)*C61</f>
        <v>5.8967503111111128</v>
      </c>
    </row>
    <row r="105" spans="1:4" ht="12.75" customHeight="1" x14ac:dyDescent="0.2">
      <c r="A105" s="98" t="s">
        <v>109</v>
      </c>
      <c r="B105" s="79"/>
      <c r="C105" s="80"/>
      <c r="D105" s="8">
        <f>SUM(D96:D104)</f>
        <v>345.46402366481556</v>
      </c>
    </row>
    <row r="106" spans="1:4" ht="12.75" customHeight="1" x14ac:dyDescent="0.2">
      <c r="A106" s="105"/>
      <c r="B106" s="79"/>
      <c r="C106" s="79"/>
      <c r="D106" s="80"/>
    </row>
    <row r="107" spans="1:4" ht="16.5" customHeight="1" x14ac:dyDescent="0.2">
      <c r="A107" s="103" t="s">
        <v>110</v>
      </c>
      <c r="B107" s="79"/>
      <c r="C107" s="79"/>
      <c r="D107" s="80"/>
    </row>
    <row r="108" spans="1:4" ht="12.75" customHeight="1" x14ac:dyDescent="0.2">
      <c r="A108" s="4" t="s">
        <v>111</v>
      </c>
      <c r="B108" s="98" t="s">
        <v>112</v>
      </c>
      <c r="C108" s="80"/>
      <c r="D108" s="4" t="s">
        <v>29</v>
      </c>
    </row>
    <row r="109" spans="1:4" ht="12.75" customHeight="1" x14ac:dyDescent="0.2">
      <c r="A109" s="1" t="s">
        <v>5</v>
      </c>
      <c r="B109" s="101" t="s">
        <v>113</v>
      </c>
      <c r="C109" s="80"/>
      <c r="D109" s="6">
        <v>0</v>
      </c>
    </row>
    <row r="110" spans="1:4" ht="12.75" customHeight="1" x14ac:dyDescent="0.2">
      <c r="A110" s="98" t="s">
        <v>114</v>
      </c>
      <c r="B110" s="79"/>
      <c r="C110" s="80"/>
      <c r="D110" s="8">
        <f>SUM(D109)</f>
        <v>0</v>
      </c>
    </row>
    <row r="111" spans="1:4" ht="12.75" customHeight="1" x14ac:dyDescent="0.2">
      <c r="A111" s="105"/>
      <c r="B111" s="79"/>
      <c r="C111" s="79"/>
      <c r="D111" s="80"/>
    </row>
    <row r="112" spans="1:4" ht="15.75" customHeight="1" x14ac:dyDescent="0.2">
      <c r="A112" s="103" t="s">
        <v>115</v>
      </c>
      <c r="B112" s="79"/>
      <c r="C112" s="79"/>
      <c r="D112" s="80"/>
    </row>
    <row r="113" spans="1:4" ht="12.75" customHeight="1" x14ac:dyDescent="0.2">
      <c r="A113" s="4">
        <v>4</v>
      </c>
      <c r="B113" s="98" t="s">
        <v>83</v>
      </c>
      <c r="C113" s="80"/>
      <c r="D113" s="4" t="s">
        <v>29</v>
      </c>
    </row>
    <row r="114" spans="1:4" ht="12.75" customHeight="1" x14ac:dyDescent="0.2">
      <c r="A114" s="1" t="s">
        <v>98</v>
      </c>
      <c r="B114" s="101" t="s">
        <v>116</v>
      </c>
      <c r="C114" s="80"/>
      <c r="D114" s="6">
        <f>D105</f>
        <v>345.46402366481556</v>
      </c>
    </row>
    <row r="115" spans="1:4" ht="16.5" customHeight="1" x14ac:dyDescent="0.2">
      <c r="A115" s="1" t="s">
        <v>111</v>
      </c>
      <c r="B115" s="101" t="s">
        <v>112</v>
      </c>
      <c r="C115" s="80"/>
      <c r="D115" s="6">
        <f>D110</f>
        <v>0</v>
      </c>
    </row>
    <row r="116" spans="1:4" ht="16.5" customHeight="1" x14ac:dyDescent="0.2">
      <c r="A116" s="98" t="s">
        <v>84</v>
      </c>
      <c r="B116" s="79"/>
      <c r="C116" s="80"/>
      <c r="D116" s="8">
        <f>D114+D115</f>
        <v>345.46402366481556</v>
      </c>
    </row>
    <row r="117" spans="1:4" ht="12.75" customHeight="1" x14ac:dyDescent="0.2">
      <c r="A117" s="105"/>
      <c r="B117" s="79"/>
      <c r="C117" s="79"/>
      <c r="D117" s="80"/>
    </row>
    <row r="118" spans="1:4" ht="16.5" customHeight="1" x14ac:dyDescent="0.2">
      <c r="A118" s="102" t="s">
        <v>117</v>
      </c>
      <c r="B118" s="79"/>
      <c r="C118" s="79"/>
      <c r="D118" s="80"/>
    </row>
    <row r="119" spans="1:4" ht="12.75" customHeight="1" x14ac:dyDescent="0.2">
      <c r="A119" s="4">
        <v>5</v>
      </c>
      <c r="B119" s="98" t="s">
        <v>118</v>
      </c>
      <c r="C119" s="80"/>
      <c r="D119" s="4" t="s">
        <v>29</v>
      </c>
    </row>
    <row r="120" spans="1:4" ht="12.75" x14ac:dyDescent="0.2">
      <c r="A120" s="1" t="s">
        <v>5</v>
      </c>
      <c r="B120" s="106" t="s">
        <v>119</v>
      </c>
      <c r="C120" s="80"/>
      <c r="D120" s="6">
        <f>'EPI E UNIFORMES'!$F$33</f>
        <v>32.770000000000003</v>
      </c>
    </row>
    <row r="121" spans="1:4" ht="38.25" customHeight="1" x14ac:dyDescent="0.2">
      <c r="A121" s="1" t="s">
        <v>7</v>
      </c>
      <c r="B121" s="106" t="s">
        <v>120</v>
      </c>
      <c r="C121" s="80"/>
      <c r="D121" s="6">
        <f>'EPI E UNIFORMES'!$F$43</f>
        <v>26.07</v>
      </c>
    </row>
    <row r="122" spans="1:4" ht="38.25" customHeight="1" x14ac:dyDescent="0.2">
      <c r="A122" s="1" t="s">
        <v>10</v>
      </c>
      <c r="B122" s="106" t="s">
        <v>121</v>
      </c>
      <c r="C122" s="80"/>
      <c r="D122" s="6">
        <f>INSUMOS!$H$82</f>
        <v>739.04</v>
      </c>
    </row>
    <row r="123" spans="1:4" ht="40.5" customHeight="1" x14ac:dyDescent="0.2">
      <c r="A123" s="1" t="s">
        <v>13</v>
      </c>
      <c r="B123" s="106" t="s">
        <v>122</v>
      </c>
      <c r="C123" s="80"/>
      <c r="D123" s="6">
        <f>EQUIPAMENTOS!$J$26</f>
        <v>48.34</v>
      </c>
    </row>
    <row r="124" spans="1:4" ht="16.5" customHeight="1" x14ac:dyDescent="0.2">
      <c r="A124" s="1" t="s">
        <v>34</v>
      </c>
      <c r="B124" s="106" t="s">
        <v>123</v>
      </c>
      <c r="C124" s="80"/>
      <c r="D124" s="5">
        <v>0</v>
      </c>
    </row>
    <row r="125" spans="1:4" ht="16.5" customHeight="1" x14ac:dyDescent="0.2">
      <c r="A125" s="98" t="s">
        <v>124</v>
      </c>
      <c r="B125" s="79"/>
      <c r="C125" s="80"/>
      <c r="D125" s="8">
        <f>SUM(D120:D124)</f>
        <v>846.22</v>
      </c>
    </row>
    <row r="126" spans="1:4" ht="12.75" customHeight="1" x14ac:dyDescent="0.2">
      <c r="A126" s="105"/>
      <c r="B126" s="79"/>
      <c r="C126" s="79"/>
      <c r="D126" s="80"/>
    </row>
    <row r="127" spans="1:4" ht="16.5" customHeight="1" x14ac:dyDescent="0.2">
      <c r="A127" s="102" t="s">
        <v>125</v>
      </c>
      <c r="B127" s="79"/>
      <c r="C127" s="79"/>
      <c r="D127" s="80"/>
    </row>
    <row r="128" spans="1:4" ht="12.75" customHeight="1" x14ac:dyDescent="0.2">
      <c r="A128" s="4">
        <v>6</v>
      </c>
      <c r="B128" s="12" t="s">
        <v>126</v>
      </c>
      <c r="C128" s="4" t="s">
        <v>127</v>
      </c>
      <c r="D128" s="10" t="s">
        <v>29</v>
      </c>
    </row>
    <row r="129" spans="1:4" ht="12.75" customHeight="1" x14ac:dyDescent="0.2">
      <c r="A129" s="1" t="s">
        <v>5</v>
      </c>
      <c r="B129" s="9" t="s">
        <v>128</v>
      </c>
      <c r="C129" s="18">
        <f>BDI!H5</f>
        <v>3.6740000000000002E-2</v>
      </c>
      <c r="D129" s="6">
        <f>D150*C129</f>
        <v>186.45924034600372</v>
      </c>
    </row>
    <row r="130" spans="1:4" ht="44.25" customHeight="1" x14ac:dyDescent="0.2">
      <c r="A130" s="101" t="s">
        <v>129</v>
      </c>
      <c r="B130" s="79"/>
      <c r="C130" s="79"/>
      <c r="D130" s="80"/>
    </row>
    <row r="131" spans="1:4" ht="12.75" customHeight="1" x14ac:dyDescent="0.2">
      <c r="A131" s="1" t="s">
        <v>7</v>
      </c>
      <c r="B131" s="9" t="s">
        <v>130</v>
      </c>
      <c r="C131" s="18">
        <f>BDI!H6</f>
        <v>3.0520000000000002E-2</v>
      </c>
      <c r="D131" s="6">
        <f>(D150+D129)*C131</f>
        <v>160.58284312913341</v>
      </c>
    </row>
    <row r="132" spans="1:4" ht="42.75" customHeight="1" x14ac:dyDescent="0.2">
      <c r="A132" s="101" t="s">
        <v>131</v>
      </c>
      <c r="B132" s="79"/>
      <c r="C132" s="79"/>
      <c r="D132" s="80"/>
    </row>
    <row r="133" spans="1:4" ht="12.75" customHeight="1" x14ac:dyDescent="0.2">
      <c r="A133" s="1" t="s">
        <v>10</v>
      </c>
      <c r="B133" s="9" t="s">
        <v>132</v>
      </c>
      <c r="C133" s="13"/>
      <c r="D133" s="1"/>
    </row>
    <row r="134" spans="1:4" ht="41.25" customHeight="1" x14ac:dyDescent="0.2">
      <c r="A134" s="101" t="s">
        <v>133</v>
      </c>
      <c r="B134" s="79"/>
      <c r="C134" s="79"/>
      <c r="D134" s="80"/>
    </row>
    <row r="135" spans="1:4" ht="12.75" customHeight="1" x14ac:dyDescent="0.2">
      <c r="A135" s="110"/>
      <c r="B135" s="9" t="s">
        <v>134</v>
      </c>
      <c r="C135" s="13"/>
      <c r="D135" s="1"/>
    </row>
    <row r="136" spans="1:4" ht="12.75" customHeight="1" x14ac:dyDescent="0.2">
      <c r="A136" s="111"/>
      <c r="B136" s="9" t="s">
        <v>135</v>
      </c>
      <c r="C136" s="13">
        <v>1.6500000000000001E-2</v>
      </c>
      <c r="D136" s="6">
        <f t="shared" ref="D136:D137" si="2">($D$129+$D$131+$D$150)/(1-($C$136+$C$137+$C$139))*C136</f>
        <v>104.33279786991163</v>
      </c>
    </row>
    <row r="137" spans="1:4" ht="12.75" customHeight="1" x14ac:dyDescent="0.2">
      <c r="A137" s="111"/>
      <c r="B137" s="9" t="s">
        <v>136</v>
      </c>
      <c r="C137" s="13">
        <v>7.5999999999999998E-2</v>
      </c>
      <c r="D137" s="6">
        <f t="shared" si="2"/>
        <v>480.56319018868385</v>
      </c>
    </row>
    <row r="138" spans="1:4" ht="12.75" customHeight="1" x14ac:dyDescent="0.2">
      <c r="A138" s="111"/>
      <c r="B138" s="9" t="s">
        <v>137</v>
      </c>
      <c r="C138" s="13"/>
      <c r="D138" s="1"/>
    </row>
    <row r="139" spans="1:4" ht="12.75" customHeight="1" x14ac:dyDescent="0.2">
      <c r="A139" s="111"/>
      <c r="B139" s="9" t="s">
        <v>138</v>
      </c>
      <c r="C139" s="107">
        <v>0.05</v>
      </c>
      <c r="D139" s="109">
        <f>($D$129+$D$131+$D$150)/(1-($C$136+$C$137+$C$139))*C139</f>
        <v>316.15999354518681</v>
      </c>
    </row>
    <row r="140" spans="1:4" ht="12.75" customHeight="1" x14ac:dyDescent="0.2">
      <c r="A140" s="108"/>
      <c r="B140" s="9" t="s">
        <v>139</v>
      </c>
      <c r="C140" s="108"/>
      <c r="D140" s="108"/>
    </row>
    <row r="141" spans="1:4" ht="12.75" customHeight="1" x14ac:dyDescent="0.2">
      <c r="A141" s="98" t="s">
        <v>140</v>
      </c>
      <c r="B141" s="79"/>
      <c r="C141" s="80"/>
      <c r="D141" s="19">
        <f>SUM(D129:D139)</f>
        <v>1248.0980650789195</v>
      </c>
    </row>
    <row r="142" spans="1:4" ht="26.25" customHeight="1" x14ac:dyDescent="0.2">
      <c r="A142" s="113" t="s">
        <v>141</v>
      </c>
      <c r="B142" s="79"/>
      <c r="C142" s="79"/>
      <c r="D142" s="80"/>
    </row>
    <row r="143" spans="1:4" ht="12.75" customHeight="1" x14ac:dyDescent="0.2">
      <c r="A143" s="100" t="s">
        <v>142</v>
      </c>
      <c r="B143" s="79"/>
      <c r="C143" s="79"/>
      <c r="D143" s="80"/>
    </row>
    <row r="144" spans="1:4" ht="12.75" customHeight="1" x14ac:dyDescent="0.2">
      <c r="A144" s="20"/>
      <c r="B144" s="98" t="s">
        <v>143</v>
      </c>
      <c r="C144" s="80"/>
      <c r="D144" s="7" t="s">
        <v>144</v>
      </c>
    </row>
    <row r="145" spans="1:4" ht="12.75" customHeight="1" x14ac:dyDescent="0.2">
      <c r="A145" s="1" t="s">
        <v>5</v>
      </c>
      <c r="B145" s="101" t="s">
        <v>145</v>
      </c>
      <c r="C145" s="80"/>
      <c r="D145" s="6">
        <f>D39</f>
        <v>2051.44</v>
      </c>
    </row>
    <row r="146" spans="1:4" ht="12.75" customHeight="1" x14ac:dyDescent="0.2">
      <c r="A146" s="1" t="s">
        <v>7</v>
      </c>
      <c r="B146" s="101" t="s">
        <v>146</v>
      </c>
      <c r="C146" s="80"/>
      <c r="D146" s="6">
        <f>D79</f>
        <v>1681.873467632</v>
      </c>
    </row>
    <row r="147" spans="1:4" ht="26.25" customHeight="1" x14ac:dyDescent="0.2">
      <c r="A147" s="1" t="s">
        <v>10</v>
      </c>
      <c r="B147" s="101" t="s">
        <v>147</v>
      </c>
      <c r="C147" s="80"/>
      <c r="D147" s="6">
        <f>D89</f>
        <v>150.104314528</v>
      </c>
    </row>
    <row r="148" spans="1:4" ht="16.5" customHeight="1" x14ac:dyDescent="0.2">
      <c r="A148" s="1" t="s">
        <v>13</v>
      </c>
      <c r="B148" s="101" t="s">
        <v>148</v>
      </c>
      <c r="C148" s="80"/>
      <c r="D148" s="6">
        <f>D116</f>
        <v>345.46402366481556</v>
      </c>
    </row>
    <row r="149" spans="1:4" ht="16.5" customHeight="1" x14ac:dyDescent="0.2">
      <c r="A149" s="1" t="s">
        <v>34</v>
      </c>
      <c r="B149" s="101" t="s">
        <v>149</v>
      </c>
      <c r="C149" s="80"/>
      <c r="D149" s="6">
        <f>D125</f>
        <v>846.22</v>
      </c>
    </row>
    <row r="150" spans="1:4" ht="16.5" customHeight="1" x14ac:dyDescent="0.2">
      <c r="A150" s="104" t="s">
        <v>150</v>
      </c>
      <c r="B150" s="79"/>
      <c r="C150" s="80"/>
      <c r="D150" s="11">
        <f>SUM(D145:D149)</f>
        <v>5075.1018058248155</v>
      </c>
    </row>
    <row r="151" spans="1:4" ht="16.5" customHeight="1" x14ac:dyDescent="0.2">
      <c r="A151" s="1" t="s">
        <v>36</v>
      </c>
      <c r="B151" s="101" t="s">
        <v>151</v>
      </c>
      <c r="C151" s="80"/>
      <c r="D151" s="6">
        <f>D141</f>
        <v>1248.0980650789195</v>
      </c>
    </row>
    <row r="152" spans="1:4" ht="16.5" customHeight="1" x14ac:dyDescent="0.2">
      <c r="A152" s="1" t="s">
        <v>38</v>
      </c>
      <c r="B152" s="101" t="s">
        <v>152</v>
      </c>
      <c r="C152" s="80"/>
      <c r="D152" s="6">
        <v>0</v>
      </c>
    </row>
    <row r="153" spans="1:4" ht="16.5" customHeight="1" x14ac:dyDescent="0.2">
      <c r="A153" s="112" t="s">
        <v>153</v>
      </c>
      <c r="B153" s="79"/>
      <c r="C153" s="80"/>
      <c r="D153" s="21">
        <f>SUM(D151+D150+D152)</f>
        <v>6323.1998709037352</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4:D4"/>
    <mergeCell ref="A5:D5"/>
    <mergeCell ref="A6:D7"/>
    <mergeCell ref="A8:D8"/>
    <mergeCell ref="A9:D9"/>
    <mergeCell ref="B10:C10"/>
  </mergeCells>
  <pageMargins left="0.25" right="0.25" top="0.75" bottom="0.75" header="0" footer="0"/>
  <pageSetup paperSize="9" fitToHeight="0" orientation="portrait" cellComments="atEnd"/>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8"/>
  <sheetViews>
    <sheetView workbookViewId="0"/>
  </sheetViews>
  <sheetFormatPr defaultColWidth="14.42578125" defaultRowHeight="15" customHeight="1" x14ac:dyDescent="0.2"/>
  <cols>
    <col min="2" max="2" width="22.140625" customWidth="1"/>
    <col min="3" max="3" width="11.28515625" customWidth="1"/>
    <col min="4" max="4" width="21.42578125" customWidth="1"/>
    <col min="5" max="5" width="9.28515625" customWidth="1"/>
    <col min="6" max="6" width="10.42578125" customWidth="1"/>
    <col min="7" max="7" width="12.85546875" customWidth="1"/>
    <col min="8" max="8" width="12.7109375" customWidth="1"/>
    <col min="9" max="9" width="12.140625" customWidth="1"/>
    <col min="10" max="10" width="13.5703125" customWidth="1"/>
    <col min="11" max="11" width="11.28515625" customWidth="1"/>
    <col min="12" max="12" width="11.85546875" customWidth="1"/>
    <col min="13" max="13" width="14.7109375" customWidth="1"/>
    <col min="14" max="14" width="10.85546875" customWidth="1"/>
    <col min="15" max="15" width="11.28515625" customWidth="1"/>
    <col min="16" max="16" width="12.85546875" customWidth="1"/>
  </cols>
  <sheetData>
    <row r="1" spans="1:16" ht="15" customHeight="1" x14ac:dyDescent="0.2">
      <c r="A1" s="133" t="s">
        <v>436</v>
      </c>
      <c r="B1" s="83"/>
      <c r="C1" s="83"/>
      <c r="D1" s="83"/>
      <c r="E1" s="83"/>
      <c r="F1" s="83"/>
      <c r="G1" s="83"/>
      <c r="H1" s="83"/>
      <c r="I1" s="83"/>
      <c r="J1" s="83"/>
      <c r="K1" s="83"/>
      <c r="L1" s="83"/>
      <c r="M1" s="83"/>
      <c r="N1" s="83"/>
      <c r="O1" s="83"/>
      <c r="P1" s="84"/>
    </row>
    <row r="2" spans="1:16" ht="15" customHeight="1" x14ac:dyDescent="0.2">
      <c r="A2" s="64"/>
      <c r="B2" s="64"/>
      <c r="C2" s="64"/>
      <c r="D2" s="64"/>
      <c r="E2" s="64"/>
      <c r="F2" s="64"/>
      <c r="G2" s="64"/>
      <c r="H2" s="64"/>
      <c r="I2" s="64"/>
      <c r="J2" s="64"/>
      <c r="K2" s="64"/>
      <c r="L2" s="64"/>
      <c r="M2" s="64"/>
      <c r="N2" s="64"/>
      <c r="O2" s="64"/>
      <c r="P2" s="64"/>
    </row>
    <row r="3" spans="1:16" ht="15" customHeight="1" x14ac:dyDescent="0.2">
      <c r="A3" s="134" t="s">
        <v>437</v>
      </c>
      <c r="B3" s="79"/>
      <c r="C3" s="79"/>
      <c r="D3" s="79"/>
      <c r="E3" s="79"/>
      <c r="F3" s="79"/>
      <c r="G3" s="79"/>
      <c r="H3" s="79"/>
      <c r="I3" s="79"/>
      <c r="J3" s="79"/>
      <c r="K3" s="79"/>
      <c r="L3" s="79"/>
      <c r="M3" s="79"/>
      <c r="N3" s="80"/>
      <c r="O3" s="135">
        <f>$H$27</f>
        <v>33.024053477322937</v>
      </c>
      <c r="P3" s="80"/>
    </row>
    <row r="4" spans="1:16" ht="15" customHeight="1" x14ac:dyDescent="0.2">
      <c r="A4" s="134" t="s">
        <v>438</v>
      </c>
      <c r="B4" s="79"/>
      <c r="C4" s="79"/>
      <c r="D4" s="79"/>
      <c r="E4" s="79"/>
      <c r="F4" s="79"/>
      <c r="G4" s="79"/>
      <c r="H4" s="79"/>
      <c r="I4" s="79"/>
      <c r="J4" s="79"/>
      <c r="K4" s="79"/>
      <c r="L4" s="79"/>
      <c r="M4" s="79"/>
      <c r="N4" s="80"/>
      <c r="O4" s="135">
        <f>SUM(H19:H21)</f>
        <v>5.8934000000000006</v>
      </c>
      <c r="P4" s="80"/>
    </row>
    <row r="5" spans="1:16" ht="15" customHeight="1" x14ac:dyDescent="0.2">
      <c r="A5" s="134" t="s">
        <v>439</v>
      </c>
      <c r="B5" s="79"/>
      <c r="C5" s="79"/>
      <c r="D5" s="79"/>
      <c r="E5" s="79"/>
      <c r="F5" s="79"/>
      <c r="G5" s="79"/>
      <c r="H5" s="79"/>
      <c r="I5" s="79"/>
      <c r="J5" s="79"/>
      <c r="K5" s="79"/>
      <c r="L5" s="79"/>
      <c r="M5" s="79"/>
      <c r="N5" s="80"/>
      <c r="O5" s="136">
        <f>$P$27</f>
        <v>163248.41999999998</v>
      </c>
      <c r="P5" s="80"/>
    </row>
    <row r="6" spans="1:16" ht="15" customHeight="1" x14ac:dyDescent="0.2">
      <c r="A6" s="134" t="s">
        <v>440</v>
      </c>
      <c r="B6" s="79"/>
      <c r="C6" s="79"/>
      <c r="D6" s="79"/>
      <c r="E6" s="79"/>
      <c r="F6" s="79"/>
      <c r="G6" s="79"/>
      <c r="H6" s="79"/>
      <c r="I6" s="79"/>
      <c r="J6" s="79"/>
      <c r="K6" s="79"/>
      <c r="L6" s="79"/>
      <c r="M6" s="79"/>
      <c r="N6" s="80"/>
      <c r="O6" s="136">
        <f>TRUNC(O5*12,2)</f>
        <v>1958981.04</v>
      </c>
      <c r="P6" s="80"/>
    </row>
    <row r="7" spans="1:16" ht="15" customHeight="1" x14ac:dyDescent="0.2">
      <c r="A7" s="64"/>
      <c r="B7" s="64"/>
      <c r="C7" s="64"/>
      <c r="D7" s="64"/>
      <c r="E7" s="64"/>
      <c r="F7" s="64"/>
      <c r="G7" s="64"/>
      <c r="H7" s="64"/>
      <c r="I7" s="64"/>
      <c r="J7" s="64"/>
      <c r="K7" s="64"/>
      <c r="L7" s="64"/>
      <c r="M7" s="64"/>
      <c r="N7" s="64"/>
      <c r="O7" s="64"/>
      <c r="P7" s="64"/>
    </row>
    <row r="8" spans="1:16" ht="15" customHeight="1" x14ac:dyDescent="0.2">
      <c r="A8" s="137" t="s">
        <v>441</v>
      </c>
      <c r="B8" s="137" t="s">
        <v>442</v>
      </c>
      <c r="C8" s="137" t="s">
        <v>443</v>
      </c>
      <c r="D8" s="143" t="s">
        <v>444</v>
      </c>
      <c r="E8" s="84"/>
      <c r="F8" s="137" t="s">
        <v>445</v>
      </c>
      <c r="G8" s="137" t="s">
        <v>446</v>
      </c>
      <c r="H8" s="137" t="s">
        <v>447</v>
      </c>
      <c r="I8" s="135" t="s">
        <v>448</v>
      </c>
      <c r="J8" s="79"/>
      <c r="K8" s="79"/>
      <c r="L8" s="79"/>
      <c r="M8" s="79"/>
      <c r="N8" s="79"/>
      <c r="O8" s="79"/>
      <c r="P8" s="80"/>
    </row>
    <row r="9" spans="1:16" ht="15" customHeight="1" x14ac:dyDescent="0.2">
      <c r="A9" s="111"/>
      <c r="B9" s="111"/>
      <c r="C9" s="111"/>
      <c r="D9" s="144"/>
      <c r="E9" s="92"/>
      <c r="F9" s="111"/>
      <c r="G9" s="111"/>
      <c r="H9" s="111"/>
      <c r="I9" s="135" t="s">
        <v>279</v>
      </c>
      <c r="J9" s="79"/>
      <c r="K9" s="80"/>
      <c r="L9" s="135" t="s">
        <v>301</v>
      </c>
      <c r="M9" s="79"/>
      <c r="N9" s="80"/>
      <c r="O9" s="137" t="s">
        <v>449</v>
      </c>
      <c r="P9" s="137" t="s">
        <v>450</v>
      </c>
    </row>
    <row r="10" spans="1:16" ht="15" customHeight="1" x14ac:dyDescent="0.2">
      <c r="A10" s="108"/>
      <c r="B10" s="108"/>
      <c r="C10" s="108"/>
      <c r="D10" s="65" t="s">
        <v>407</v>
      </c>
      <c r="E10" s="65" t="s">
        <v>451</v>
      </c>
      <c r="F10" s="108"/>
      <c r="G10" s="108"/>
      <c r="H10" s="108"/>
      <c r="I10" s="65" t="s">
        <v>452</v>
      </c>
      <c r="J10" s="65" t="s">
        <v>453</v>
      </c>
      <c r="K10" s="65" t="s">
        <v>454</v>
      </c>
      <c r="L10" s="65" t="s">
        <v>455</v>
      </c>
      <c r="M10" s="65" t="s">
        <v>456</v>
      </c>
      <c r="N10" s="65" t="s">
        <v>457</v>
      </c>
      <c r="O10" s="108"/>
      <c r="P10" s="108"/>
    </row>
    <row r="11" spans="1:16" ht="15" customHeight="1" x14ac:dyDescent="0.2">
      <c r="A11" s="138" t="s">
        <v>458</v>
      </c>
      <c r="B11" s="66" t="s">
        <v>459</v>
      </c>
      <c r="C11" s="66">
        <v>4103.32</v>
      </c>
      <c r="D11" s="66" t="s">
        <v>460</v>
      </c>
      <c r="E11" s="67">
        <v>30</v>
      </c>
      <c r="F11" s="67">
        <v>1200</v>
      </c>
      <c r="G11" s="68">
        <f t="shared" ref="G11:G26" si="0">(C11/30)*E11</f>
        <v>4103.32</v>
      </c>
      <c r="H11" s="68">
        <f t="shared" ref="H11:H26" si="1">G11/F11</f>
        <v>3.4194333333333331</v>
      </c>
      <c r="I11" s="68">
        <f>'SERVENTE-NORMAL'!$D$153</f>
        <v>4592.9371293926051</v>
      </c>
      <c r="J11" s="69">
        <f t="shared" ref="J11:J26" si="2">1/F11</f>
        <v>8.3333333333333339E-4</v>
      </c>
      <c r="K11" s="70">
        <f t="shared" ref="K11:K26" si="3">TRUNC(I11*J11,2)</f>
        <v>3.82</v>
      </c>
      <c r="L11" s="68">
        <f>ENCARREGADO!$D$153</f>
        <v>6323.1998709037352</v>
      </c>
      <c r="M11" s="69">
        <f t="shared" ref="M11:M26" si="4">1/(30*F11)</f>
        <v>2.7777777777777779E-5</v>
      </c>
      <c r="N11" s="70">
        <f t="shared" ref="N11:N26" si="5">TRUNC(L11*M11,2)</f>
        <v>0.17</v>
      </c>
      <c r="O11" s="70">
        <f t="shared" ref="O11:O26" si="6">TRUNC(K11+N11,2)</f>
        <v>3.99</v>
      </c>
      <c r="P11" s="70">
        <f t="shared" ref="P11:P26" si="7">TRUNC(O11*G11,2)</f>
        <v>16372.24</v>
      </c>
    </row>
    <row r="12" spans="1:16" ht="15" customHeight="1" x14ac:dyDescent="0.2">
      <c r="A12" s="111"/>
      <c r="B12" s="66" t="s">
        <v>461</v>
      </c>
      <c r="C12" s="66">
        <v>82.77</v>
      </c>
      <c r="D12" s="66" t="s">
        <v>462</v>
      </c>
      <c r="E12" s="67">
        <v>2</v>
      </c>
      <c r="F12" s="67">
        <v>2500</v>
      </c>
      <c r="G12" s="68">
        <f t="shared" si="0"/>
        <v>5.5179999999999998</v>
      </c>
      <c r="H12" s="68">
        <f t="shared" si="1"/>
        <v>2.2071999999999999E-3</v>
      </c>
      <c r="I12" s="68">
        <f>'SERVENTE-NORMAL'!$D$153</f>
        <v>4592.9371293926051</v>
      </c>
      <c r="J12" s="69">
        <f t="shared" si="2"/>
        <v>4.0000000000000002E-4</v>
      </c>
      <c r="K12" s="70">
        <f t="shared" si="3"/>
        <v>1.83</v>
      </c>
      <c r="L12" s="68">
        <f>ENCARREGADO!$D$153</f>
        <v>6323.1998709037352</v>
      </c>
      <c r="M12" s="69">
        <f t="shared" si="4"/>
        <v>1.3333333333333333E-5</v>
      </c>
      <c r="N12" s="70">
        <f t="shared" si="5"/>
        <v>0.08</v>
      </c>
      <c r="O12" s="70">
        <f t="shared" si="6"/>
        <v>1.91</v>
      </c>
      <c r="P12" s="70">
        <f t="shared" si="7"/>
        <v>10.53</v>
      </c>
    </row>
    <row r="13" spans="1:16" ht="15" customHeight="1" x14ac:dyDescent="0.2">
      <c r="A13" s="111"/>
      <c r="B13" s="66" t="s">
        <v>463</v>
      </c>
      <c r="C13" s="66">
        <v>4493.4799999999996</v>
      </c>
      <c r="D13" s="66" t="s">
        <v>460</v>
      </c>
      <c r="E13" s="67">
        <v>30</v>
      </c>
      <c r="F13" s="67">
        <v>1500</v>
      </c>
      <c r="G13" s="68">
        <f t="shared" si="0"/>
        <v>4493.4799999999996</v>
      </c>
      <c r="H13" s="68">
        <f t="shared" si="1"/>
        <v>2.9956533333333328</v>
      </c>
      <c r="I13" s="68">
        <f>'SERVENTE-NORMAL'!$D$153</f>
        <v>4592.9371293926051</v>
      </c>
      <c r="J13" s="69">
        <f t="shared" si="2"/>
        <v>6.6666666666666664E-4</v>
      </c>
      <c r="K13" s="70">
        <f t="shared" si="3"/>
        <v>3.06</v>
      </c>
      <c r="L13" s="68">
        <f>ENCARREGADO!$D$153</f>
        <v>6323.1998709037352</v>
      </c>
      <c r="M13" s="69">
        <f t="shared" si="4"/>
        <v>2.2222222222222223E-5</v>
      </c>
      <c r="N13" s="70">
        <f t="shared" si="5"/>
        <v>0.14000000000000001</v>
      </c>
      <c r="O13" s="70">
        <f t="shared" si="6"/>
        <v>3.2</v>
      </c>
      <c r="P13" s="70">
        <f t="shared" si="7"/>
        <v>14379.13</v>
      </c>
    </row>
    <row r="14" spans="1:16" ht="15" customHeight="1" x14ac:dyDescent="0.2">
      <c r="A14" s="111"/>
      <c r="B14" s="66" t="s">
        <v>464</v>
      </c>
      <c r="C14" s="66">
        <v>614.84</v>
      </c>
      <c r="D14" s="66" t="s">
        <v>465</v>
      </c>
      <c r="E14" s="67">
        <v>1</v>
      </c>
      <c r="F14" s="67">
        <v>2500</v>
      </c>
      <c r="G14" s="68">
        <f t="shared" si="0"/>
        <v>20.494666666666667</v>
      </c>
      <c r="H14" s="68">
        <f t="shared" si="1"/>
        <v>8.1978666666666661E-3</v>
      </c>
      <c r="I14" s="68">
        <f>'SERVENTE-NORMAL'!$D$153</f>
        <v>4592.9371293926051</v>
      </c>
      <c r="J14" s="69">
        <f t="shared" si="2"/>
        <v>4.0000000000000002E-4</v>
      </c>
      <c r="K14" s="70">
        <f t="shared" si="3"/>
        <v>1.83</v>
      </c>
      <c r="L14" s="68">
        <f>ENCARREGADO!$D$153</f>
        <v>6323.1998709037352</v>
      </c>
      <c r="M14" s="69">
        <f t="shared" si="4"/>
        <v>1.3333333333333333E-5</v>
      </c>
      <c r="N14" s="70">
        <f t="shared" si="5"/>
        <v>0.08</v>
      </c>
      <c r="O14" s="70">
        <f t="shared" si="6"/>
        <v>1.91</v>
      </c>
      <c r="P14" s="70">
        <f t="shared" si="7"/>
        <v>39.14</v>
      </c>
    </row>
    <row r="15" spans="1:16" ht="15" customHeight="1" x14ac:dyDescent="0.2">
      <c r="A15" s="111"/>
      <c r="B15" s="66" t="s">
        <v>466</v>
      </c>
      <c r="C15" s="66">
        <v>5241.41</v>
      </c>
      <c r="D15" s="66" t="s">
        <v>460</v>
      </c>
      <c r="E15" s="67">
        <v>30</v>
      </c>
      <c r="F15" s="67">
        <v>450</v>
      </c>
      <c r="G15" s="68">
        <f t="shared" si="0"/>
        <v>5241.41</v>
      </c>
      <c r="H15" s="68">
        <f t="shared" si="1"/>
        <v>11.647577777777778</v>
      </c>
      <c r="I15" s="68">
        <f>'SERVENTE-NORMAL'!$D$153</f>
        <v>4592.9371293926051</v>
      </c>
      <c r="J15" s="69">
        <f t="shared" si="2"/>
        <v>2.2222222222222222E-3</v>
      </c>
      <c r="K15" s="70">
        <f t="shared" si="3"/>
        <v>10.199999999999999</v>
      </c>
      <c r="L15" s="68">
        <f>ENCARREGADO!$D$153</f>
        <v>6323.1998709037352</v>
      </c>
      <c r="M15" s="69">
        <f t="shared" si="4"/>
        <v>7.4074074074074073E-5</v>
      </c>
      <c r="N15" s="70">
        <f t="shared" si="5"/>
        <v>0.46</v>
      </c>
      <c r="O15" s="70">
        <f t="shared" si="6"/>
        <v>10.66</v>
      </c>
      <c r="P15" s="70">
        <f t="shared" si="7"/>
        <v>55873.43</v>
      </c>
    </row>
    <row r="16" spans="1:16" ht="15" customHeight="1" x14ac:dyDescent="0.2">
      <c r="A16" s="111"/>
      <c r="B16" s="66" t="s">
        <v>467</v>
      </c>
      <c r="C16" s="66">
        <v>1967.24</v>
      </c>
      <c r="D16" s="66" t="s">
        <v>468</v>
      </c>
      <c r="E16" s="67">
        <v>90</v>
      </c>
      <c r="F16" s="67">
        <v>1200</v>
      </c>
      <c r="G16" s="68">
        <f t="shared" si="0"/>
        <v>5901.72</v>
      </c>
      <c r="H16" s="68">
        <f t="shared" si="1"/>
        <v>4.9180999999999999</v>
      </c>
      <c r="I16" s="68">
        <f>'SERVENTE-NORMAL'!$D$153</f>
        <v>4592.9371293926051</v>
      </c>
      <c r="J16" s="69">
        <f t="shared" si="2"/>
        <v>8.3333333333333339E-4</v>
      </c>
      <c r="K16" s="70">
        <f t="shared" si="3"/>
        <v>3.82</v>
      </c>
      <c r="L16" s="68">
        <f>ENCARREGADO!$D$153</f>
        <v>6323.1998709037352</v>
      </c>
      <c r="M16" s="69">
        <f t="shared" si="4"/>
        <v>2.7777777777777779E-5</v>
      </c>
      <c r="N16" s="70">
        <f t="shared" si="5"/>
        <v>0.17</v>
      </c>
      <c r="O16" s="70">
        <f t="shared" si="6"/>
        <v>3.99</v>
      </c>
      <c r="P16" s="70">
        <f t="shared" si="7"/>
        <v>23547.86</v>
      </c>
    </row>
    <row r="17" spans="1:16" ht="15" customHeight="1" x14ac:dyDescent="0.2">
      <c r="A17" s="111"/>
      <c r="B17" s="66" t="s">
        <v>469</v>
      </c>
      <c r="C17" s="66">
        <v>76.72</v>
      </c>
      <c r="D17" s="66" t="s">
        <v>465</v>
      </c>
      <c r="E17" s="67">
        <v>1</v>
      </c>
      <c r="F17" s="67">
        <v>450</v>
      </c>
      <c r="G17" s="68">
        <f t="shared" si="0"/>
        <v>2.5573333333333332</v>
      </c>
      <c r="H17" s="68">
        <f t="shared" si="1"/>
        <v>5.6829629629629626E-3</v>
      </c>
      <c r="I17" s="68">
        <f>'SERVENTE-NORMAL'!$D$153</f>
        <v>4592.9371293926051</v>
      </c>
      <c r="J17" s="69">
        <f t="shared" si="2"/>
        <v>2.2222222222222222E-3</v>
      </c>
      <c r="K17" s="70">
        <f t="shared" si="3"/>
        <v>10.199999999999999</v>
      </c>
      <c r="L17" s="68">
        <f>ENCARREGADO!$D$153</f>
        <v>6323.1998709037352</v>
      </c>
      <c r="M17" s="69">
        <f t="shared" si="4"/>
        <v>7.4074074074074073E-5</v>
      </c>
      <c r="N17" s="70">
        <f t="shared" si="5"/>
        <v>0.46</v>
      </c>
      <c r="O17" s="70">
        <f t="shared" si="6"/>
        <v>10.66</v>
      </c>
      <c r="P17" s="70">
        <f t="shared" si="7"/>
        <v>27.26</v>
      </c>
    </row>
    <row r="18" spans="1:16" ht="15" customHeight="1" x14ac:dyDescent="0.2">
      <c r="A18" s="108"/>
      <c r="B18" s="66" t="s">
        <v>470</v>
      </c>
      <c r="C18" s="66">
        <v>2106.14</v>
      </c>
      <c r="D18" s="66" t="s">
        <v>460</v>
      </c>
      <c r="E18" s="67">
        <v>30</v>
      </c>
      <c r="F18" s="67">
        <v>2500</v>
      </c>
      <c r="G18" s="68">
        <f t="shared" si="0"/>
        <v>2106.14</v>
      </c>
      <c r="H18" s="68">
        <f t="shared" si="1"/>
        <v>0.84245599999999998</v>
      </c>
      <c r="I18" s="68">
        <f>'SERVENTE-NORMAL'!$D$153</f>
        <v>4592.9371293926051</v>
      </c>
      <c r="J18" s="69">
        <f t="shared" si="2"/>
        <v>4.0000000000000002E-4</v>
      </c>
      <c r="K18" s="70">
        <f t="shared" si="3"/>
        <v>1.83</v>
      </c>
      <c r="L18" s="68">
        <f>ENCARREGADO!$D$153</f>
        <v>6323.1998709037352</v>
      </c>
      <c r="M18" s="69">
        <f t="shared" si="4"/>
        <v>1.3333333333333333E-5</v>
      </c>
      <c r="N18" s="70">
        <f t="shared" si="5"/>
        <v>0.08</v>
      </c>
      <c r="O18" s="70">
        <f t="shared" si="6"/>
        <v>1.91</v>
      </c>
      <c r="P18" s="70">
        <f t="shared" si="7"/>
        <v>4022.72</v>
      </c>
    </row>
    <row r="19" spans="1:16" ht="15" customHeight="1" x14ac:dyDescent="0.2">
      <c r="A19" s="139" t="s">
        <v>471</v>
      </c>
      <c r="B19" s="71" t="s">
        <v>472</v>
      </c>
      <c r="C19" s="71">
        <v>187.62</v>
      </c>
      <c r="D19" s="71" t="s">
        <v>460</v>
      </c>
      <c r="E19" s="72">
        <v>30</v>
      </c>
      <c r="F19" s="72">
        <v>300</v>
      </c>
      <c r="G19" s="73">
        <f t="shared" si="0"/>
        <v>187.62</v>
      </c>
      <c r="H19" s="73">
        <f t="shared" si="1"/>
        <v>0.62540000000000007</v>
      </c>
      <c r="I19" s="73">
        <f>'SERVENTE-INSALUBRIDADE-10%'!D153</f>
        <v>4838.8407823934531</v>
      </c>
      <c r="J19" s="74">
        <f t="shared" si="2"/>
        <v>3.3333333333333335E-3</v>
      </c>
      <c r="K19" s="75">
        <f t="shared" si="3"/>
        <v>16.12</v>
      </c>
      <c r="L19" s="73">
        <f>ENCARREGADO!$D$153</f>
        <v>6323.1998709037352</v>
      </c>
      <c r="M19" s="74">
        <f t="shared" si="4"/>
        <v>1.1111111111111112E-4</v>
      </c>
      <c r="N19" s="75">
        <f t="shared" si="5"/>
        <v>0.7</v>
      </c>
      <c r="O19" s="75">
        <f t="shared" si="6"/>
        <v>16.82</v>
      </c>
      <c r="P19" s="75">
        <f t="shared" si="7"/>
        <v>3155.76</v>
      </c>
    </row>
    <row r="20" spans="1:16" ht="15" customHeight="1" x14ac:dyDescent="0.2">
      <c r="A20" s="111"/>
      <c r="B20" s="71" t="s">
        <v>473</v>
      </c>
      <c r="C20" s="71">
        <v>193.26</v>
      </c>
      <c r="D20" s="71" t="s">
        <v>474</v>
      </c>
      <c r="E20" s="72">
        <v>60</v>
      </c>
      <c r="F20" s="72">
        <v>300</v>
      </c>
      <c r="G20" s="73">
        <f t="shared" si="0"/>
        <v>386.52</v>
      </c>
      <c r="H20" s="73">
        <f t="shared" si="1"/>
        <v>1.2884</v>
      </c>
      <c r="I20" s="73">
        <f>'SERVENTE-INSALUBRIDADE-20%'!D153</f>
        <v>5084.8448980683706</v>
      </c>
      <c r="J20" s="74">
        <f t="shared" si="2"/>
        <v>3.3333333333333335E-3</v>
      </c>
      <c r="K20" s="75">
        <f t="shared" si="3"/>
        <v>16.940000000000001</v>
      </c>
      <c r="L20" s="73">
        <f>ENCARREGADO!$D$153</f>
        <v>6323.1998709037352</v>
      </c>
      <c r="M20" s="74">
        <f t="shared" si="4"/>
        <v>1.1111111111111112E-4</v>
      </c>
      <c r="N20" s="75">
        <f t="shared" si="5"/>
        <v>0.7</v>
      </c>
      <c r="O20" s="75">
        <f t="shared" si="6"/>
        <v>17.64</v>
      </c>
      <c r="P20" s="75">
        <f t="shared" si="7"/>
        <v>6818.21</v>
      </c>
    </row>
    <row r="21" spans="1:16" ht="15" customHeight="1" x14ac:dyDescent="0.2">
      <c r="A21" s="108"/>
      <c r="B21" s="71" t="s">
        <v>475</v>
      </c>
      <c r="C21" s="71">
        <v>298.47000000000003</v>
      </c>
      <c r="D21" s="71" t="s">
        <v>476</v>
      </c>
      <c r="E21" s="72">
        <v>120</v>
      </c>
      <c r="F21" s="72">
        <v>300</v>
      </c>
      <c r="G21" s="73">
        <f t="shared" si="0"/>
        <v>1193.8800000000001</v>
      </c>
      <c r="H21" s="73">
        <f t="shared" si="1"/>
        <v>3.9796000000000005</v>
      </c>
      <c r="I21" s="73">
        <f>'SERVENTE-INSALUBRIDADE-40%'!D153</f>
        <v>5576.8254983409852</v>
      </c>
      <c r="J21" s="74">
        <f t="shared" si="2"/>
        <v>3.3333333333333335E-3</v>
      </c>
      <c r="K21" s="75">
        <f t="shared" si="3"/>
        <v>18.579999999999998</v>
      </c>
      <c r="L21" s="73">
        <f>ENCARREGADO!$D$153</f>
        <v>6323.1998709037352</v>
      </c>
      <c r="M21" s="74">
        <f t="shared" si="4"/>
        <v>1.1111111111111112E-4</v>
      </c>
      <c r="N21" s="75">
        <f t="shared" si="5"/>
        <v>0.7</v>
      </c>
      <c r="O21" s="75">
        <f t="shared" si="6"/>
        <v>19.28</v>
      </c>
      <c r="P21" s="75">
        <f t="shared" si="7"/>
        <v>23018</v>
      </c>
    </row>
    <row r="22" spans="1:16" ht="15" customHeight="1" x14ac:dyDescent="0.2">
      <c r="A22" s="66" t="s">
        <v>477</v>
      </c>
      <c r="B22" s="66" t="s">
        <v>478</v>
      </c>
      <c r="C22" s="66">
        <v>3523.1</v>
      </c>
      <c r="D22" s="66" t="s">
        <v>462</v>
      </c>
      <c r="E22" s="67">
        <v>2</v>
      </c>
      <c r="F22" s="67">
        <v>380</v>
      </c>
      <c r="G22" s="68">
        <f t="shared" si="0"/>
        <v>234.87333333333333</v>
      </c>
      <c r="H22" s="68">
        <f t="shared" si="1"/>
        <v>0.61808771929824557</v>
      </c>
      <c r="I22" s="68">
        <f>'SERVENTE-NORMAL'!$D$153</f>
        <v>4592.9371293926051</v>
      </c>
      <c r="J22" s="69">
        <f t="shared" si="2"/>
        <v>2.631578947368421E-3</v>
      </c>
      <c r="K22" s="70">
        <f t="shared" si="3"/>
        <v>12.08</v>
      </c>
      <c r="L22" s="68">
        <f>ENCARREGADO!$D$153</f>
        <v>6323.1998709037352</v>
      </c>
      <c r="M22" s="69">
        <f t="shared" si="4"/>
        <v>8.7719298245614029E-5</v>
      </c>
      <c r="N22" s="70">
        <f t="shared" si="5"/>
        <v>0.55000000000000004</v>
      </c>
      <c r="O22" s="70">
        <f t="shared" si="6"/>
        <v>12.63</v>
      </c>
      <c r="P22" s="70">
        <f t="shared" si="7"/>
        <v>2966.45</v>
      </c>
    </row>
    <row r="23" spans="1:16" ht="15" customHeight="1" x14ac:dyDescent="0.2">
      <c r="A23" s="139" t="s">
        <v>479</v>
      </c>
      <c r="B23" s="71" t="s">
        <v>480</v>
      </c>
      <c r="C23" s="71">
        <v>5591.7</v>
      </c>
      <c r="D23" s="71" t="s">
        <v>460</v>
      </c>
      <c r="E23" s="72">
        <v>30</v>
      </c>
      <c r="F23" s="72">
        <v>2700</v>
      </c>
      <c r="G23" s="73">
        <f t="shared" si="0"/>
        <v>5591.7</v>
      </c>
      <c r="H23" s="73">
        <f t="shared" si="1"/>
        <v>2.0709999999999997</v>
      </c>
      <c r="I23" s="73">
        <f>'SERVENTE-NORMAL'!$D$153</f>
        <v>4592.9371293926051</v>
      </c>
      <c r="J23" s="74">
        <f t="shared" si="2"/>
        <v>3.7037037037037035E-4</v>
      </c>
      <c r="K23" s="75">
        <f t="shared" si="3"/>
        <v>1.7</v>
      </c>
      <c r="L23" s="73">
        <f>ENCARREGADO!$D$153</f>
        <v>6323.1998709037352</v>
      </c>
      <c r="M23" s="74">
        <f t="shared" si="4"/>
        <v>1.2345679012345678E-5</v>
      </c>
      <c r="N23" s="75">
        <f t="shared" si="5"/>
        <v>7.0000000000000007E-2</v>
      </c>
      <c r="O23" s="75">
        <f t="shared" si="6"/>
        <v>1.77</v>
      </c>
      <c r="P23" s="75">
        <f t="shared" si="7"/>
        <v>9897.2999999999993</v>
      </c>
    </row>
    <row r="24" spans="1:16" ht="15" customHeight="1" x14ac:dyDescent="0.2">
      <c r="A24" s="111"/>
      <c r="B24" s="71" t="s">
        <v>481</v>
      </c>
      <c r="C24" s="71">
        <v>2874.47</v>
      </c>
      <c r="D24" s="71" t="s">
        <v>482</v>
      </c>
      <c r="E24" s="72">
        <v>4</v>
      </c>
      <c r="F24" s="72">
        <v>2700</v>
      </c>
      <c r="G24" s="73">
        <f t="shared" si="0"/>
        <v>383.26266666666663</v>
      </c>
      <c r="H24" s="73">
        <f t="shared" si="1"/>
        <v>0.14194913580246912</v>
      </c>
      <c r="I24" s="73">
        <f>'SERVENTE-INSALUBRIDADE-10%'!$D$153</f>
        <v>4838.8407823934531</v>
      </c>
      <c r="J24" s="74">
        <f t="shared" si="2"/>
        <v>3.7037037037037035E-4</v>
      </c>
      <c r="K24" s="75">
        <f t="shared" si="3"/>
        <v>1.79</v>
      </c>
      <c r="L24" s="73">
        <f>ENCARREGADO!$D$153</f>
        <v>6323.1998709037352</v>
      </c>
      <c r="M24" s="74">
        <f t="shared" si="4"/>
        <v>1.2345679012345678E-5</v>
      </c>
      <c r="N24" s="75">
        <f t="shared" si="5"/>
        <v>7.0000000000000007E-2</v>
      </c>
      <c r="O24" s="75">
        <f t="shared" si="6"/>
        <v>1.86</v>
      </c>
      <c r="P24" s="75">
        <f t="shared" si="7"/>
        <v>712.86</v>
      </c>
    </row>
    <row r="25" spans="1:16" ht="24" x14ac:dyDescent="0.2">
      <c r="A25" s="111"/>
      <c r="B25" s="71" t="s">
        <v>483</v>
      </c>
      <c r="C25" s="71">
        <v>4062.56</v>
      </c>
      <c r="D25" s="71" t="s">
        <v>460</v>
      </c>
      <c r="E25" s="72">
        <v>30</v>
      </c>
      <c r="F25" s="72">
        <v>9000</v>
      </c>
      <c r="G25" s="73">
        <f t="shared" si="0"/>
        <v>4062.56</v>
      </c>
      <c r="H25" s="73">
        <f t="shared" si="1"/>
        <v>0.45139555555555555</v>
      </c>
      <c r="I25" s="73">
        <f>'SERVENTE-INSALUBRIDADE-20%'!$D$153</f>
        <v>5084.8448980683706</v>
      </c>
      <c r="J25" s="74">
        <f t="shared" si="2"/>
        <v>1.1111111111111112E-4</v>
      </c>
      <c r="K25" s="75">
        <f t="shared" si="3"/>
        <v>0.56000000000000005</v>
      </c>
      <c r="L25" s="73">
        <f>ENCARREGADO!$D$153</f>
        <v>6323.1998709037352</v>
      </c>
      <c r="M25" s="74">
        <f t="shared" si="4"/>
        <v>3.7037037037037037E-6</v>
      </c>
      <c r="N25" s="75">
        <f t="shared" si="5"/>
        <v>0.02</v>
      </c>
      <c r="O25" s="75">
        <f t="shared" si="6"/>
        <v>0.57999999999999996</v>
      </c>
      <c r="P25" s="75">
        <f t="shared" si="7"/>
        <v>2356.2800000000002</v>
      </c>
    </row>
    <row r="26" spans="1:16" ht="24" x14ac:dyDescent="0.2">
      <c r="A26" s="108"/>
      <c r="B26" s="71" t="s">
        <v>484</v>
      </c>
      <c r="C26" s="71">
        <v>180.48</v>
      </c>
      <c r="D26" s="71" t="s">
        <v>482</v>
      </c>
      <c r="E26" s="73">
        <v>4</v>
      </c>
      <c r="F26" s="72">
        <v>2700</v>
      </c>
      <c r="G26" s="73">
        <f t="shared" si="0"/>
        <v>24.064</v>
      </c>
      <c r="H26" s="73">
        <f t="shared" si="1"/>
        <v>8.9125925925925917E-3</v>
      </c>
      <c r="I26" s="73">
        <f>'SERVENTE-INSALUBRIDADE-40%'!$D$153</f>
        <v>5576.8254983409852</v>
      </c>
      <c r="J26" s="74">
        <f t="shared" si="2"/>
        <v>3.7037037037037035E-4</v>
      </c>
      <c r="K26" s="75">
        <f t="shared" si="3"/>
        <v>2.06</v>
      </c>
      <c r="L26" s="73">
        <f>ENCARREGADO!$D$153</f>
        <v>6323.1998709037352</v>
      </c>
      <c r="M26" s="74">
        <f t="shared" si="4"/>
        <v>1.2345679012345678E-5</v>
      </c>
      <c r="N26" s="75">
        <f t="shared" si="5"/>
        <v>7.0000000000000007E-2</v>
      </c>
      <c r="O26" s="75">
        <f t="shared" si="6"/>
        <v>2.13</v>
      </c>
      <c r="P26" s="75">
        <f t="shared" si="7"/>
        <v>51.25</v>
      </c>
    </row>
    <row r="27" spans="1:16" ht="12.75" x14ac:dyDescent="0.2">
      <c r="A27" s="140" t="s">
        <v>485</v>
      </c>
      <c r="B27" s="79"/>
      <c r="C27" s="79"/>
      <c r="D27" s="79"/>
      <c r="E27" s="79"/>
      <c r="F27" s="79"/>
      <c r="G27" s="80"/>
      <c r="H27" s="76">
        <f>SUM(H11:H26)</f>
        <v>33.024053477322937</v>
      </c>
      <c r="I27" s="141" t="s">
        <v>486</v>
      </c>
      <c r="J27" s="79"/>
      <c r="K27" s="79"/>
      <c r="L27" s="79"/>
      <c r="M27" s="79"/>
      <c r="N27" s="79"/>
      <c r="O27" s="80"/>
      <c r="P27" s="77">
        <f>SUM(P11:P26)</f>
        <v>163248.41999999998</v>
      </c>
    </row>
    <row r="28" spans="1:16" ht="12.75" x14ac:dyDescent="0.2">
      <c r="A28" s="142" t="s">
        <v>487</v>
      </c>
      <c r="B28" s="86"/>
      <c r="C28" s="86"/>
      <c r="D28" s="86"/>
      <c r="E28" s="86"/>
      <c r="F28" s="86"/>
      <c r="G28" s="86"/>
      <c r="H28" s="86"/>
      <c r="I28" s="86"/>
      <c r="J28" s="86"/>
      <c r="K28" s="86"/>
      <c r="L28" s="86"/>
      <c r="M28" s="86"/>
      <c r="N28" s="86"/>
      <c r="O28" s="86"/>
      <c r="P28" s="86"/>
    </row>
  </sheetData>
  <mergeCells count="27">
    <mergeCell ref="F8:F10"/>
    <mergeCell ref="A19:A21"/>
    <mergeCell ref="A23:A26"/>
    <mergeCell ref="A27:G27"/>
    <mergeCell ref="I27:O27"/>
    <mergeCell ref="A28:P28"/>
    <mergeCell ref="A5:N5"/>
    <mergeCell ref="O5:P5"/>
    <mergeCell ref="G8:G10"/>
    <mergeCell ref="H8:H10"/>
    <mergeCell ref="A11:A18"/>
    <mergeCell ref="I8:P8"/>
    <mergeCell ref="I9:K9"/>
    <mergeCell ref="L9:N9"/>
    <mergeCell ref="O9:O10"/>
    <mergeCell ref="P9:P10"/>
    <mergeCell ref="A6:N6"/>
    <mergeCell ref="O6:P6"/>
    <mergeCell ref="A8:A10"/>
    <mergeCell ref="B8:B10"/>
    <mergeCell ref="C8:C10"/>
    <mergeCell ref="D8:E9"/>
    <mergeCell ref="A1:P1"/>
    <mergeCell ref="A3:N3"/>
    <mergeCell ref="O3:P3"/>
    <mergeCell ref="A4:N4"/>
    <mergeCell ref="O4:P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topLeftCell="A127" workbookViewId="0">
      <selection activeCell="D86" sqref="D86"/>
    </sheetView>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78" t="s">
        <v>0</v>
      </c>
      <c r="B1" s="79"/>
      <c r="C1" s="79"/>
      <c r="D1" s="80"/>
    </row>
    <row r="2" spans="1:4" ht="12.75" customHeight="1" x14ac:dyDescent="0.2">
      <c r="A2" s="81" t="s">
        <v>154</v>
      </c>
      <c r="B2" s="79"/>
      <c r="C2" s="79"/>
      <c r="D2" s="80"/>
    </row>
    <row r="3" spans="1:4" ht="12.75" customHeight="1" x14ac:dyDescent="0.2">
      <c r="A3" s="82"/>
      <c r="B3" s="83"/>
      <c r="C3" s="83"/>
      <c r="D3" s="84"/>
    </row>
    <row r="4" spans="1:4" ht="12.75" customHeight="1" x14ac:dyDescent="0.2">
      <c r="A4" s="85" t="s">
        <v>2</v>
      </c>
      <c r="B4" s="86"/>
      <c r="C4" s="86"/>
      <c r="D4" s="87"/>
    </row>
    <row r="5" spans="1:4" ht="12.75" customHeight="1" x14ac:dyDescent="0.2">
      <c r="A5" s="85" t="s">
        <v>3</v>
      </c>
      <c r="B5" s="86"/>
      <c r="C5" s="86"/>
      <c r="D5" s="87"/>
    </row>
    <row r="6" spans="1:4" ht="12.75" customHeight="1" x14ac:dyDescent="0.2">
      <c r="A6" s="88"/>
      <c r="B6" s="86"/>
      <c r="C6" s="86"/>
      <c r="D6" s="87"/>
    </row>
    <row r="7" spans="1:4" ht="12.75" customHeight="1" x14ac:dyDescent="0.2">
      <c r="A7" s="89"/>
      <c r="B7" s="86"/>
      <c r="C7" s="86"/>
      <c r="D7" s="87"/>
    </row>
    <row r="8" spans="1:4" ht="12.75" customHeight="1" x14ac:dyDescent="0.2">
      <c r="A8" s="90"/>
      <c r="B8" s="91"/>
      <c r="C8" s="91"/>
      <c r="D8" s="92"/>
    </row>
    <row r="9" spans="1:4" ht="13.5" customHeight="1" x14ac:dyDescent="0.2">
      <c r="A9" s="93" t="s">
        <v>4</v>
      </c>
      <c r="B9" s="94"/>
      <c r="C9" s="94"/>
      <c r="D9" s="95"/>
    </row>
    <row r="10" spans="1:4" ht="12.75" customHeight="1" x14ac:dyDescent="0.2">
      <c r="A10" s="1" t="s">
        <v>5</v>
      </c>
      <c r="B10" s="96" t="s">
        <v>6</v>
      </c>
      <c r="C10" s="80"/>
      <c r="D10" s="1"/>
    </row>
    <row r="11" spans="1:4" ht="12.75" customHeight="1" x14ac:dyDescent="0.2">
      <c r="A11" s="1" t="s">
        <v>7</v>
      </c>
      <c r="B11" s="96" t="s">
        <v>8</v>
      </c>
      <c r="C11" s="80"/>
      <c r="D11" s="1" t="s">
        <v>9</v>
      </c>
    </row>
    <row r="12" spans="1:4" ht="12.75" customHeight="1" x14ac:dyDescent="0.2">
      <c r="A12" s="1" t="s">
        <v>10</v>
      </c>
      <c r="B12" s="96" t="s">
        <v>11</v>
      </c>
      <c r="C12" s="80"/>
      <c r="D12" s="1" t="s">
        <v>12</v>
      </c>
    </row>
    <row r="13" spans="1:4" ht="12.75" customHeight="1" x14ac:dyDescent="0.2">
      <c r="A13" s="1" t="s">
        <v>13</v>
      </c>
      <c r="B13" s="96" t="s">
        <v>14</v>
      </c>
      <c r="C13" s="80"/>
      <c r="D13" s="1">
        <v>12</v>
      </c>
    </row>
    <row r="14" spans="1:4" ht="12.75" customHeight="1" x14ac:dyDescent="0.2">
      <c r="A14" s="97"/>
      <c r="B14" s="79"/>
      <c r="C14" s="79"/>
      <c r="D14" s="80"/>
    </row>
    <row r="15" spans="1:4" ht="12.75" customHeight="1" x14ac:dyDescent="0.2">
      <c r="A15" s="93" t="s">
        <v>15</v>
      </c>
      <c r="B15" s="94"/>
      <c r="C15" s="94"/>
      <c r="D15" s="95"/>
    </row>
    <row r="16" spans="1:4" ht="12.75" customHeight="1" x14ac:dyDescent="0.2">
      <c r="A16" s="98" t="s">
        <v>16</v>
      </c>
      <c r="B16" s="79"/>
      <c r="C16" s="79"/>
      <c r="D16" s="80"/>
    </row>
    <row r="17" spans="1:4" ht="12.75" customHeight="1" x14ac:dyDescent="0.2">
      <c r="A17" s="96" t="s">
        <v>17</v>
      </c>
      <c r="B17" s="79"/>
      <c r="C17" s="79"/>
      <c r="D17" s="80"/>
    </row>
    <row r="18" spans="1:4" ht="12.75" customHeight="1" x14ac:dyDescent="0.2">
      <c r="A18" s="97"/>
      <c r="B18" s="79"/>
      <c r="C18" s="79"/>
      <c r="D18" s="80"/>
    </row>
    <row r="19" spans="1:4" ht="20.25" customHeight="1" x14ac:dyDescent="0.2">
      <c r="A19" s="99" t="s">
        <v>18</v>
      </c>
      <c r="B19" s="79"/>
      <c r="C19" s="79"/>
      <c r="D19" s="80"/>
    </row>
    <row r="20" spans="1:4" ht="12.75" customHeight="1" x14ac:dyDescent="0.2">
      <c r="A20" s="100" t="s">
        <v>19</v>
      </c>
      <c r="B20" s="79"/>
      <c r="C20" s="79"/>
      <c r="D20" s="80"/>
    </row>
    <row r="21" spans="1:4" ht="15.75" customHeight="1" x14ac:dyDescent="0.2">
      <c r="A21" s="98" t="s">
        <v>20</v>
      </c>
      <c r="B21" s="79"/>
      <c r="C21" s="79"/>
      <c r="D21" s="80"/>
    </row>
    <row r="22" spans="1:4" ht="12.75" x14ac:dyDescent="0.2">
      <c r="A22" s="1">
        <v>1</v>
      </c>
      <c r="B22" s="101" t="s">
        <v>21</v>
      </c>
      <c r="C22" s="80"/>
      <c r="D22" s="1" t="str">
        <f>A17</f>
        <v>Limpeza e Conservação</v>
      </c>
    </row>
    <row r="23" spans="1:4" ht="12.75" customHeight="1" x14ac:dyDescent="0.2">
      <c r="A23" s="1">
        <v>2</v>
      </c>
      <c r="B23" s="101" t="s">
        <v>22</v>
      </c>
      <c r="C23" s="80"/>
      <c r="D23" s="1" t="s">
        <v>23</v>
      </c>
    </row>
    <row r="24" spans="1:4" ht="12.75" customHeight="1" x14ac:dyDescent="0.2">
      <c r="A24" s="1">
        <v>3</v>
      </c>
      <c r="B24" s="101" t="s">
        <v>24</v>
      </c>
      <c r="C24" s="80"/>
      <c r="D24" s="2">
        <v>1198.0899999999999</v>
      </c>
    </row>
    <row r="25" spans="1:4" ht="27.75" customHeight="1" x14ac:dyDescent="0.2">
      <c r="A25" s="1">
        <v>4</v>
      </c>
      <c r="B25" s="101" t="s">
        <v>25</v>
      </c>
      <c r="C25" s="80"/>
      <c r="D25" s="1" t="str">
        <f>A2</f>
        <v>SERVENTE DE LIMPEZA  (44 HORAS de segunda a sábado)</v>
      </c>
    </row>
    <row r="26" spans="1:4" ht="12.75" customHeight="1" x14ac:dyDescent="0.2">
      <c r="A26" s="1">
        <v>5</v>
      </c>
      <c r="B26" s="101" t="s">
        <v>26</v>
      </c>
      <c r="C26" s="80"/>
      <c r="D26" s="3">
        <v>44197</v>
      </c>
    </row>
    <row r="27" spans="1:4" ht="12.75" customHeight="1" x14ac:dyDescent="0.2">
      <c r="A27" s="97"/>
      <c r="B27" s="79"/>
      <c r="C27" s="79"/>
      <c r="D27" s="80"/>
    </row>
    <row r="28" spans="1:4" ht="12.75" customHeight="1" x14ac:dyDescent="0.2">
      <c r="A28" s="102" t="s">
        <v>27</v>
      </c>
      <c r="B28" s="79"/>
      <c r="C28" s="79"/>
      <c r="D28" s="80"/>
    </row>
    <row r="29" spans="1:4" ht="12.75" customHeight="1" x14ac:dyDescent="0.2">
      <c r="A29" s="4">
        <v>1</v>
      </c>
      <c r="B29" s="98" t="s">
        <v>28</v>
      </c>
      <c r="C29" s="80"/>
      <c r="D29" s="4" t="s">
        <v>29</v>
      </c>
    </row>
    <row r="30" spans="1:4" ht="12.75" customHeight="1" x14ac:dyDescent="0.2">
      <c r="A30" s="1" t="s">
        <v>5</v>
      </c>
      <c r="B30" s="101" t="s">
        <v>30</v>
      </c>
      <c r="C30" s="80"/>
      <c r="D30" s="5">
        <v>1198.0899999999999</v>
      </c>
    </row>
    <row r="31" spans="1:4" ht="12.75" customHeight="1" x14ac:dyDescent="0.2">
      <c r="A31" s="1" t="s">
        <v>7</v>
      </c>
      <c r="B31" s="101" t="s">
        <v>31</v>
      </c>
      <c r="C31" s="80"/>
      <c r="D31" s="6">
        <v>0</v>
      </c>
    </row>
    <row r="32" spans="1:4" ht="18" customHeight="1" x14ac:dyDescent="0.2">
      <c r="A32" s="1" t="s">
        <v>10</v>
      </c>
      <c r="B32" s="101" t="s">
        <v>32</v>
      </c>
      <c r="C32" s="80"/>
      <c r="D32" s="6">
        <v>0</v>
      </c>
    </row>
    <row r="33" spans="1:4" ht="36.75" customHeight="1" x14ac:dyDescent="0.2">
      <c r="A33" s="1" t="s">
        <v>13</v>
      </c>
      <c r="B33" s="101" t="s">
        <v>155</v>
      </c>
      <c r="C33" s="80"/>
      <c r="D33" s="6">
        <v>0</v>
      </c>
    </row>
    <row r="34" spans="1:4" ht="24.75" customHeight="1" x14ac:dyDescent="0.2">
      <c r="A34" s="1" t="s">
        <v>34</v>
      </c>
      <c r="B34" s="101" t="s">
        <v>156</v>
      </c>
      <c r="C34" s="80"/>
      <c r="D34" s="6">
        <v>0</v>
      </c>
    </row>
    <row r="35" spans="1:4" ht="32.25" customHeight="1" x14ac:dyDescent="0.2">
      <c r="A35" s="1" t="s">
        <v>36</v>
      </c>
      <c r="B35" s="101" t="s">
        <v>157</v>
      </c>
      <c r="C35" s="80"/>
      <c r="D35" s="6">
        <v>0</v>
      </c>
    </row>
    <row r="36" spans="1:4" ht="26.25" customHeight="1" x14ac:dyDescent="0.2">
      <c r="A36" s="1" t="s">
        <v>38</v>
      </c>
      <c r="B36" s="101" t="s">
        <v>158</v>
      </c>
      <c r="C36" s="80"/>
      <c r="D36" s="6">
        <v>0</v>
      </c>
    </row>
    <row r="37" spans="1:4" ht="12.75" customHeight="1" x14ac:dyDescent="0.2">
      <c r="A37" s="1" t="s">
        <v>40</v>
      </c>
      <c r="B37" s="101" t="s">
        <v>41</v>
      </c>
      <c r="C37" s="80"/>
      <c r="D37" s="5">
        <v>46.16</v>
      </c>
    </row>
    <row r="38" spans="1:4" ht="12.75" customHeight="1" x14ac:dyDescent="0.2">
      <c r="A38" s="1" t="s">
        <v>42</v>
      </c>
      <c r="B38" s="101" t="s">
        <v>43</v>
      </c>
      <c r="C38" s="80"/>
      <c r="D38" s="6">
        <v>0</v>
      </c>
    </row>
    <row r="39" spans="1:4" ht="12.75" customHeight="1" x14ac:dyDescent="0.2">
      <c r="A39" s="7"/>
      <c r="B39" s="98" t="s">
        <v>44</v>
      </c>
      <c r="C39" s="80"/>
      <c r="D39" s="8">
        <f>SUM(D30:D38)</f>
        <v>1244.25</v>
      </c>
    </row>
    <row r="40" spans="1:4" ht="12.75" customHeight="1" x14ac:dyDescent="0.2">
      <c r="A40" s="96" t="s">
        <v>45</v>
      </c>
      <c r="B40" s="79"/>
      <c r="C40" s="79"/>
      <c r="D40" s="80"/>
    </row>
    <row r="41" spans="1:4" ht="12.75" customHeight="1" x14ac:dyDescent="0.2">
      <c r="A41" s="97"/>
      <c r="B41" s="79"/>
      <c r="C41" s="79"/>
      <c r="D41" s="80"/>
    </row>
    <row r="42" spans="1:4" ht="12.75" customHeight="1" x14ac:dyDescent="0.2">
      <c r="A42" s="102" t="s">
        <v>46</v>
      </c>
      <c r="B42" s="79"/>
      <c r="C42" s="79"/>
      <c r="D42" s="80"/>
    </row>
    <row r="43" spans="1:4" ht="12.75" customHeight="1" x14ac:dyDescent="0.2">
      <c r="A43" s="103" t="s">
        <v>47</v>
      </c>
      <c r="B43" s="79"/>
      <c r="C43" s="79"/>
      <c r="D43" s="80"/>
    </row>
    <row r="44" spans="1:4" ht="12.75" customHeight="1" x14ac:dyDescent="0.2">
      <c r="A44" s="4" t="s">
        <v>48</v>
      </c>
      <c r="B44" s="98" t="s">
        <v>49</v>
      </c>
      <c r="C44" s="80"/>
      <c r="D44" s="4" t="s">
        <v>29</v>
      </c>
    </row>
    <row r="45" spans="1:4" ht="25.5" x14ac:dyDescent="0.2">
      <c r="A45" s="1" t="s">
        <v>5</v>
      </c>
      <c r="B45" s="9" t="s">
        <v>159</v>
      </c>
      <c r="C45" s="10" t="s">
        <v>51</v>
      </c>
      <c r="D45" s="6">
        <f>D39*0.0833</f>
        <v>103.64602499999999</v>
      </c>
    </row>
    <row r="46" spans="1:4" ht="25.5" x14ac:dyDescent="0.2">
      <c r="A46" s="1" t="s">
        <v>7</v>
      </c>
      <c r="B46" s="9" t="s">
        <v>160</v>
      </c>
      <c r="C46" s="10" t="s">
        <v>51</v>
      </c>
      <c r="D46" s="6">
        <f>D39*0.0278</f>
        <v>34.590150000000001</v>
      </c>
    </row>
    <row r="47" spans="1:4" ht="12.75" customHeight="1" x14ac:dyDescent="0.2">
      <c r="A47" s="104" t="s">
        <v>53</v>
      </c>
      <c r="B47" s="79"/>
      <c r="C47" s="80"/>
      <c r="D47" s="11">
        <f>SUM(D45:D46)</f>
        <v>138.236175</v>
      </c>
    </row>
    <row r="48" spans="1:4" ht="25.5" x14ac:dyDescent="0.2">
      <c r="A48" s="1" t="s">
        <v>10</v>
      </c>
      <c r="B48" s="9" t="s">
        <v>161</v>
      </c>
      <c r="C48" s="10" t="s">
        <v>51</v>
      </c>
      <c r="D48" s="6">
        <f>(D45+D46)*C61</f>
        <v>55.017997650000012</v>
      </c>
    </row>
    <row r="49" spans="1:4" ht="12.75" customHeight="1" x14ac:dyDescent="0.2">
      <c r="A49" s="98" t="s">
        <v>55</v>
      </c>
      <c r="B49" s="79"/>
      <c r="C49" s="80"/>
      <c r="D49" s="8">
        <f>D47+D48</f>
        <v>193.25417265000002</v>
      </c>
    </row>
    <row r="50" spans="1:4" ht="55.5" customHeight="1" x14ac:dyDescent="0.2">
      <c r="A50" s="101" t="s">
        <v>56</v>
      </c>
      <c r="B50" s="79"/>
      <c r="C50" s="79"/>
      <c r="D50" s="80"/>
    </row>
    <row r="51" spans="1:4" ht="12.75" customHeight="1" x14ac:dyDescent="0.2">
      <c r="A51" s="100" t="s">
        <v>57</v>
      </c>
      <c r="B51" s="79"/>
      <c r="C51" s="79"/>
      <c r="D51" s="80"/>
    </row>
    <row r="52" spans="1:4" ht="12.75" customHeight="1" x14ac:dyDescent="0.2">
      <c r="A52" s="4" t="s">
        <v>58</v>
      </c>
      <c r="B52" s="12" t="s">
        <v>59</v>
      </c>
      <c r="C52" s="4" t="s">
        <v>60</v>
      </c>
      <c r="D52" s="4" t="s">
        <v>29</v>
      </c>
    </row>
    <row r="53" spans="1:4" ht="12.75" customHeight="1" x14ac:dyDescent="0.2">
      <c r="A53" s="1" t="s">
        <v>5</v>
      </c>
      <c r="B53" s="9" t="s">
        <v>61</v>
      </c>
      <c r="C53" s="13">
        <v>0.2</v>
      </c>
      <c r="D53" s="6">
        <f t="shared" ref="D53:D60" si="0">C53*$D$39</f>
        <v>248.85000000000002</v>
      </c>
    </row>
    <row r="54" spans="1:4" ht="12.75" customHeight="1" x14ac:dyDescent="0.2">
      <c r="A54" s="1" t="s">
        <v>7</v>
      </c>
      <c r="B54" s="9" t="s">
        <v>62</v>
      </c>
      <c r="C54" s="13">
        <v>2.5000000000000001E-2</v>
      </c>
      <c r="D54" s="6">
        <f t="shared" si="0"/>
        <v>31.106250000000003</v>
      </c>
    </row>
    <row r="55" spans="1:4" ht="12.75" customHeight="1" x14ac:dyDescent="0.2">
      <c r="A55" s="1" t="s">
        <v>10</v>
      </c>
      <c r="B55" s="9" t="s">
        <v>63</v>
      </c>
      <c r="C55" s="13">
        <v>0.06</v>
      </c>
      <c r="D55" s="6">
        <f t="shared" si="0"/>
        <v>74.655000000000001</v>
      </c>
    </row>
    <row r="56" spans="1:4" ht="12.75" customHeight="1" x14ac:dyDescent="0.2">
      <c r="A56" s="1" t="s">
        <v>13</v>
      </c>
      <c r="B56" s="9" t="s">
        <v>64</v>
      </c>
      <c r="C56" s="13">
        <v>1.4999999999999999E-2</v>
      </c>
      <c r="D56" s="6">
        <f t="shared" si="0"/>
        <v>18.66375</v>
      </c>
    </row>
    <row r="57" spans="1:4" ht="12.75" customHeight="1" x14ac:dyDescent="0.2">
      <c r="A57" s="1" t="s">
        <v>34</v>
      </c>
      <c r="B57" s="9" t="s">
        <v>65</v>
      </c>
      <c r="C57" s="13">
        <v>0.01</v>
      </c>
      <c r="D57" s="6">
        <f t="shared" si="0"/>
        <v>12.442500000000001</v>
      </c>
    </row>
    <row r="58" spans="1:4" ht="12.75" customHeight="1" x14ac:dyDescent="0.2">
      <c r="A58" s="1" t="s">
        <v>36</v>
      </c>
      <c r="B58" s="9" t="s">
        <v>66</v>
      </c>
      <c r="C58" s="13">
        <v>6.0000000000000001E-3</v>
      </c>
      <c r="D58" s="6">
        <f t="shared" si="0"/>
        <v>7.4655000000000005</v>
      </c>
    </row>
    <row r="59" spans="1:4" ht="12.75" customHeight="1" x14ac:dyDescent="0.2">
      <c r="A59" s="1" t="s">
        <v>38</v>
      </c>
      <c r="B59" s="9" t="s">
        <v>67</v>
      </c>
      <c r="C59" s="13">
        <v>2E-3</v>
      </c>
      <c r="D59" s="6">
        <f t="shared" si="0"/>
        <v>2.4885000000000002</v>
      </c>
    </row>
    <row r="60" spans="1:4" ht="12.75" customHeight="1" x14ac:dyDescent="0.2">
      <c r="A60" s="1" t="s">
        <v>40</v>
      </c>
      <c r="B60" s="9" t="s">
        <v>68</v>
      </c>
      <c r="C60" s="13">
        <v>0.08</v>
      </c>
      <c r="D60" s="6">
        <f t="shared" si="0"/>
        <v>99.54</v>
      </c>
    </row>
    <row r="61" spans="1:4" ht="12.75" customHeight="1" x14ac:dyDescent="0.2">
      <c r="A61" s="7"/>
      <c r="B61" s="12" t="s">
        <v>69</v>
      </c>
      <c r="C61" s="14">
        <f t="shared" ref="C61:D61" si="1">SUM(C53:C60)</f>
        <v>0.39800000000000008</v>
      </c>
      <c r="D61" s="8">
        <f t="shared" si="1"/>
        <v>495.21150000000006</v>
      </c>
    </row>
    <row r="62" spans="1:4" ht="12.75" customHeight="1" x14ac:dyDescent="0.2">
      <c r="A62" s="105"/>
      <c r="B62" s="79"/>
      <c r="C62" s="79"/>
      <c r="D62" s="80"/>
    </row>
    <row r="63" spans="1:4" ht="12.75" customHeight="1" x14ac:dyDescent="0.2">
      <c r="A63" s="103" t="s">
        <v>70</v>
      </c>
      <c r="B63" s="79"/>
      <c r="C63" s="79"/>
      <c r="D63" s="80"/>
    </row>
    <row r="64" spans="1:4" ht="12.75" customHeight="1" x14ac:dyDescent="0.2">
      <c r="A64" s="4" t="s">
        <v>71</v>
      </c>
      <c r="B64" s="98" t="s">
        <v>72</v>
      </c>
      <c r="C64" s="80"/>
      <c r="D64" s="4" t="s">
        <v>29</v>
      </c>
    </row>
    <row r="65" spans="1:4" ht="12.75" customHeight="1" x14ac:dyDescent="0.2">
      <c r="A65" s="1" t="s">
        <v>5</v>
      </c>
      <c r="B65" s="101" t="s">
        <v>73</v>
      </c>
      <c r="C65" s="80"/>
      <c r="D65" s="15">
        <f>(4.1*2*22)-0.06*D30</f>
        <v>108.51459999999999</v>
      </c>
    </row>
    <row r="66" spans="1:4" ht="16.5" customHeight="1" x14ac:dyDescent="0.2">
      <c r="A66" s="1" t="s">
        <v>7</v>
      </c>
      <c r="B66" s="101" t="s">
        <v>74</v>
      </c>
      <c r="C66" s="80"/>
      <c r="D66" s="5">
        <f>(16*21.083)-(16*21.083)*0.05</f>
        <v>320.46159999999998</v>
      </c>
    </row>
    <row r="67" spans="1:4" ht="24" customHeight="1" x14ac:dyDescent="0.2">
      <c r="A67" s="1" t="s">
        <v>10</v>
      </c>
      <c r="B67" s="101" t="s">
        <v>75</v>
      </c>
      <c r="C67" s="80"/>
      <c r="D67" s="5">
        <v>0</v>
      </c>
    </row>
    <row r="68" spans="1:4" ht="16.5" customHeight="1" x14ac:dyDescent="0.2">
      <c r="A68" s="1" t="s">
        <v>13</v>
      </c>
      <c r="B68" s="101" t="s">
        <v>76</v>
      </c>
      <c r="C68" s="80"/>
      <c r="D68" s="5">
        <v>0</v>
      </c>
    </row>
    <row r="69" spans="1:4" ht="27" customHeight="1" x14ac:dyDescent="0.2">
      <c r="A69" s="1" t="s">
        <v>34</v>
      </c>
      <c r="B69" s="101" t="s">
        <v>77</v>
      </c>
      <c r="C69" s="80"/>
      <c r="D69" s="5">
        <f>4.2+10.2+13+10.2+11.4</f>
        <v>48.999999999999993</v>
      </c>
    </row>
    <row r="70" spans="1:4" ht="27" customHeight="1" x14ac:dyDescent="0.2">
      <c r="A70" s="1" t="s">
        <v>36</v>
      </c>
      <c r="B70" s="101" t="s">
        <v>78</v>
      </c>
      <c r="C70" s="80"/>
      <c r="D70" s="5">
        <v>120</v>
      </c>
    </row>
    <row r="71" spans="1:4" ht="16.5" customHeight="1" x14ac:dyDescent="0.2">
      <c r="A71" s="1" t="s">
        <v>38</v>
      </c>
      <c r="B71" s="101" t="s">
        <v>79</v>
      </c>
      <c r="C71" s="80"/>
      <c r="D71" s="6">
        <v>0</v>
      </c>
    </row>
    <row r="72" spans="1:4" ht="16.5" customHeight="1" x14ac:dyDescent="0.2">
      <c r="A72" s="98" t="s">
        <v>80</v>
      </c>
      <c r="B72" s="79"/>
      <c r="C72" s="80"/>
      <c r="D72" s="8">
        <f>SUM(D65:D71)</f>
        <v>597.97619999999995</v>
      </c>
    </row>
    <row r="73" spans="1:4" ht="44.25" customHeight="1" x14ac:dyDescent="0.2">
      <c r="A73" s="101" t="s">
        <v>81</v>
      </c>
      <c r="B73" s="79"/>
      <c r="C73" s="79"/>
      <c r="D73" s="80"/>
    </row>
    <row r="74" spans="1:4" ht="16.5" customHeight="1" x14ac:dyDescent="0.2">
      <c r="A74" s="103" t="s">
        <v>82</v>
      </c>
      <c r="B74" s="79"/>
      <c r="C74" s="79"/>
      <c r="D74" s="80"/>
    </row>
    <row r="75" spans="1:4" ht="12.75" customHeight="1" x14ac:dyDescent="0.2">
      <c r="A75" s="4">
        <v>2</v>
      </c>
      <c r="B75" s="98" t="s">
        <v>83</v>
      </c>
      <c r="C75" s="80"/>
      <c r="D75" s="4" t="s">
        <v>29</v>
      </c>
    </row>
    <row r="76" spans="1:4" ht="12.75" customHeight="1" x14ac:dyDescent="0.2">
      <c r="A76" s="1" t="s">
        <v>48</v>
      </c>
      <c r="B76" s="101" t="s">
        <v>49</v>
      </c>
      <c r="C76" s="80"/>
      <c r="D76" s="6">
        <f>D49</f>
        <v>193.25417265000002</v>
      </c>
    </row>
    <row r="77" spans="1:4" ht="16.5" customHeight="1" x14ac:dyDescent="0.2">
      <c r="A77" s="1" t="s">
        <v>58</v>
      </c>
      <c r="B77" s="101" t="s">
        <v>59</v>
      </c>
      <c r="C77" s="80"/>
      <c r="D77" s="6">
        <f>D61</f>
        <v>495.21150000000006</v>
      </c>
    </row>
    <row r="78" spans="1:4" ht="16.5" customHeight="1" x14ac:dyDescent="0.2">
      <c r="A78" s="1" t="s">
        <v>71</v>
      </c>
      <c r="B78" s="101" t="s">
        <v>72</v>
      </c>
      <c r="C78" s="80"/>
      <c r="D78" s="6">
        <f>D72</f>
        <v>597.97619999999995</v>
      </c>
    </row>
    <row r="79" spans="1:4" ht="16.5" customHeight="1" x14ac:dyDescent="0.2">
      <c r="A79" s="98" t="s">
        <v>84</v>
      </c>
      <c r="B79" s="79"/>
      <c r="C79" s="80"/>
      <c r="D79" s="8">
        <f>SUM(D76:D78)</f>
        <v>1286.4418726500001</v>
      </c>
    </row>
    <row r="80" spans="1:4" ht="12.75" customHeight="1" x14ac:dyDescent="0.2">
      <c r="A80" s="105"/>
      <c r="B80" s="79"/>
      <c r="C80" s="79"/>
      <c r="D80" s="80"/>
    </row>
    <row r="81" spans="1:4" ht="16.5" customHeight="1" x14ac:dyDescent="0.2">
      <c r="A81" s="102" t="s">
        <v>85</v>
      </c>
      <c r="B81" s="79"/>
      <c r="C81" s="79"/>
      <c r="D81" s="80"/>
    </row>
    <row r="82" spans="1:4" ht="12.75" customHeight="1" x14ac:dyDescent="0.2">
      <c r="A82" s="4">
        <v>3</v>
      </c>
      <c r="B82" s="98" t="s">
        <v>86</v>
      </c>
      <c r="C82" s="80"/>
      <c r="D82" s="4" t="s">
        <v>29</v>
      </c>
    </row>
    <row r="83" spans="1:4" ht="66.75" customHeight="1" x14ac:dyDescent="0.2">
      <c r="A83" s="1" t="s">
        <v>5</v>
      </c>
      <c r="B83" s="101" t="s">
        <v>162</v>
      </c>
      <c r="C83" s="80"/>
      <c r="D83" s="6">
        <f>ROUND((($D$39/12)+($D$45/12)+($D$39/12/12)+($D$46/12))*(30/30)*0.05,2)</f>
        <v>6.19</v>
      </c>
    </row>
    <row r="84" spans="1:4" ht="26.25" customHeight="1" x14ac:dyDescent="0.2">
      <c r="A84" s="1" t="s">
        <v>7</v>
      </c>
      <c r="B84" s="101" t="s">
        <v>163</v>
      </c>
      <c r="C84" s="80"/>
      <c r="D84" s="6">
        <f>(D83*C60)</f>
        <v>0.49520000000000003</v>
      </c>
    </row>
    <row r="85" spans="1:4" ht="25.5" x14ac:dyDescent="0.2">
      <c r="A85" s="1" t="s">
        <v>10</v>
      </c>
      <c r="B85" s="16" t="s">
        <v>164</v>
      </c>
      <c r="C85" s="10" t="s">
        <v>51</v>
      </c>
      <c r="D85" s="5">
        <f>ROUND(0.08*0.4*($D$39+$D$45+$D$46+$D$96)*0.05,2)</f>
        <v>2.41</v>
      </c>
    </row>
    <row r="86" spans="1:4" ht="26.25" customHeight="1" x14ac:dyDescent="0.2">
      <c r="A86" s="1" t="s">
        <v>13</v>
      </c>
      <c r="B86" s="101" t="s">
        <v>165</v>
      </c>
      <c r="C86" s="80"/>
      <c r="D86" s="6">
        <f>D39*0.0194</f>
        <v>24.138450000000002</v>
      </c>
    </row>
    <row r="87" spans="1:4" ht="30.75" customHeight="1" x14ac:dyDescent="0.2">
      <c r="A87" s="1" t="s">
        <v>34</v>
      </c>
      <c r="B87" s="101" t="s">
        <v>166</v>
      </c>
      <c r="C87" s="80"/>
      <c r="D87" s="6">
        <f>D86*C61</f>
        <v>9.6071031000000033</v>
      </c>
    </row>
    <row r="88" spans="1:4" ht="30.75" customHeight="1" x14ac:dyDescent="0.2">
      <c r="A88" s="1" t="s">
        <v>36</v>
      </c>
      <c r="B88" s="16" t="s">
        <v>167</v>
      </c>
      <c r="C88" s="10" t="s">
        <v>51</v>
      </c>
      <c r="D88" s="6">
        <f>ROUND(0.08*0.4*($D$39+$D$45+$D$46+$D$96)*1,2)</f>
        <v>48.2</v>
      </c>
    </row>
    <row r="89" spans="1:4" ht="12.75" customHeight="1" x14ac:dyDescent="0.2">
      <c r="A89" s="98" t="s">
        <v>93</v>
      </c>
      <c r="B89" s="79"/>
      <c r="C89" s="80"/>
      <c r="D89" s="8">
        <f>SUM(D83+D84+D85+D86+D87+D88)</f>
        <v>91.040753100000018</v>
      </c>
    </row>
    <row r="90" spans="1:4" ht="12.75" customHeight="1" x14ac:dyDescent="0.2">
      <c r="A90" s="105"/>
      <c r="B90" s="79"/>
      <c r="C90" s="79"/>
      <c r="D90" s="80"/>
    </row>
    <row r="91" spans="1:4" ht="16.5" customHeight="1" x14ac:dyDescent="0.2">
      <c r="A91" s="102" t="s">
        <v>94</v>
      </c>
      <c r="B91" s="79"/>
      <c r="C91" s="79"/>
      <c r="D91" s="80"/>
    </row>
    <row r="92" spans="1:4" ht="39.75" customHeight="1" x14ac:dyDescent="0.2">
      <c r="A92" s="114" t="s">
        <v>95</v>
      </c>
      <c r="B92" s="79"/>
      <c r="C92" s="79"/>
      <c r="D92" s="80"/>
    </row>
    <row r="93" spans="1:4" ht="47.25" customHeight="1" x14ac:dyDescent="0.2">
      <c r="A93" s="115" t="s">
        <v>96</v>
      </c>
      <c r="B93" s="79"/>
      <c r="C93" s="80"/>
      <c r="D93" s="17">
        <f>ROUND(D39/12,2)+D39+D45+D46</f>
        <v>1486.1761750000001</v>
      </c>
    </row>
    <row r="94" spans="1:4" ht="12.75" customHeight="1" x14ac:dyDescent="0.2">
      <c r="A94" s="100" t="s">
        <v>97</v>
      </c>
      <c r="B94" s="79"/>
      <c r="C94" s="79"/>
      <c r="D94" s="80"/>
    </row>
    <row r="95" spans="1:4" ht="12.75" customHeight="1" x14ac:dyDescent="0.2">
      <c r="A95" s="4" t="s">
        <v>98</v>
      </c>
      <c r="B95" s="98" t="s">
        <v>99</v>
      </c>
      <c r="C95" s="80"/>
      <c r="D95" s="4" t="s">
        <v>29</v>
      </c>
    </row>
    <row r="96" spans="1:4" ht="12.75" customHeight="1" x14ac:dyDescent="0.2">
      <c r="A96" s="1" t="s">
        <v>5</v>
      </c>
      <c r="B96" s="101" t="s">
        <v>168</v>
      </c>
      <c r="C96" s="80"/>
      <c r="D96" s="6">
        <f>D93*(1/12)</f>
        <v>123.84801458333334</v>
      </c>
    </row>
    <row r="97" spans="1:4" ht="16.5" customHeight="1" x14ac:dyDescent="0.2">
      <c r="A97" s="1" t="s">
        <v>7</v>
      </c>
      <c r="B97" s="101" t="s">
        <v>169</v>
      </c>
      <c r="C97" s="80"/>
      <c r="D97" s="6">
        <f>($D$93/30/12)*1</f>
        <v>4.1282671527777781</v>
      </c>
    </row>
    <row r="98" spans="1:4" ht="16.5" customHeight="1" x14ac:dyDescent="0.2">
      <c r="A98" s="1" t="s">
        <v>10</v>
      </c>
      <c r="B98" s="101" t="s">
        <v>170</v>
      </c>
      <c r="C98" s="80"/>
      <c r="D98" s="6">
        <f>(($D$93/30/12)*5)*0.015</f>
        <v>0.30962003645833336</v>
      </c>
    </row>
    <row r="99" spans="1:4" ht="16.5" customHeight="1" x14ac:dyDescent="0.2">
      <c r="A99" s="1" t="s">
        <v>13</v>
      </c>
      <c r="B99" s="101" t="s">
        <v>171</v>
      </c>
      <c r="C99" s="80"/>
      <c r="D99" s="6">
        <f>(($D$93/30/12)*30)*0.08</f>
        <v>9.9078411666666675</v>
      </c>
    </row>
    <row r="100" spans="1:4" ht="16.5" customHeight="1" x14ac:dyDescent="0.2">
      <c r="A100" s="1" t="s">
        <v>34</v>
      </c>
      <c r="B100" s="101" t="s">
        <v>172</v>
      </c>
      <c r="C100" s="80"/>
      <c r="D100" s="6">
        <f>(($D$93/30/12)*5)*0.4</f>
        <v>8.2565343055555562</v>
      </c>
    </row>
    <row r="101" spans="1:4" ht="24.75" customHeight="1" x14ac:dyDescent="0.2">
      <c r="A101" s="1" t="s">
        <v>36</v>
      </c>
      <c r="B101" s="101" t="s">
        <v>173</v>
      </c>
      <c r="C101" s="80"/>
      <c r="D101" s="5">
        <f>(D96+D97+D98+D99+D100)*C61</f>
        <v>58.287210343427091</v>
      </c>
    </row>
    <row r="102" spans="1:4" ht="41.25" customHeight="1" x14ac:dyDescent="0.2">
      <c r="A102" s="1" t="s">
        <v>38</v>
      </c>
      <c r="B102" s="16" t="s">
        <v>174</v>
      </c>
      <c r="C102" s="10" t="s">
        <v>51</v>
      </c>
      <c r="D102" s="6">
        <f>(((D39+(D39/3))*(4/12))/12)*0.02</f>
        <v>0.92166666666666675</v>
      </c>
    </row>
    <row r="103" spans="1:4" ht="46.5" customHeight="1" x14ac:dyDescent="0.2">
      <c r="A103" s="1" t="s">
        <v>40</v>
      </c>
      <c r="B103" s="16" t="s">
        <v>175</v>
      </c>
      <c r="C103" s="10" t="s">
        <v>51</v>
      </c>
      <c r="D103" s="6">
        <f>D102*C61</f>
        <v>0.36682333333333345</v>
      </c>
    </row>
    <row r="104" spans="1:4" ht="39" customHeight="1" x14ac:dyDescent="0.2">
      <c r="A104" s="1" t="s">
        <v>42</v>
      </c>
      <c r="B104" s="16" t="s">
        <v>176</v>
      </c>
      <c r="C104" s="10" t="s">
        <v>51</v>
      </c>
      <c r="D104" s="6">
        <f>(((D39+(D39/12))*(4/12))*0.02)*C61</f>
        <v>3.5765275000000005</v>
      </c>
    </row>
    <row r="105" spans="1:4" ht="12.75" customHeight="1" x14ac:dyDescent="0.2">
      <c r="A105" s="98" t="s">
        <v>109</v>
      </c>
      <c r="B105" s="79"/>
      <c r="C105" s="80"/>
      <c r="D105" s="8">
        <f>SUM(D96:D104)</f>
        <v>209.60250508821875</v>
      </c>
    </row>
    <row r="106" spans="1:4" ht="12.75" customHeight="1" x14ac:dyDescent="0.2">
      <c r="A106" s="105"/>
      <c r="B106" s="79"/>
      <c r="C106" s="79"/>
      <c r="D106" s="80"/>
    </row>
    <row r="107" spans="1:4" ht="16.5" customHeight="1" x14ac:dyDescent="0.2">
      <c r="A107" s="103" t="s">
        <v>110</v>
      </c>
      <c r="B107" s="79"/>
      <c r="C107" s="79"/>
      <c r="D107" s="80"/>
    </row>
    <row r="108" spans="1:4" ht="12.75" customHeight="1" x14ac:dyDescent="0.2">
      <c r="A108" s="4" t="s">
        <v>111</v>
      </c>
      <c r="B108" s="98" t="s">
        <v>112</v>
      </c>
      <c r="C108" s="80"/>
      <c r="D108" s="4" t="s">
        <v>29</v>
      </c>
    </row>
    <row r="109" spans="1:4" ht="12.75" customHeight="1" x14ac:dyDescent="0.2">
      <c r="A109" s="1" t="s">
        <v>5</v>
      </c>
      <c r="B109" s="101" t="s">
        <v>113</v>
      </c>
      <c r="C109" s="80"/>
      <c r="D109" s="6">
        <v>0</v>
      </c>
    </row>
    <row r="110" spans="1:4" ht="12.75" customHeight="1" x14ac:dyDescent="0.2">
      <c r="A110" s="98" t="s">
        <v>114</v>
      </c>
      <c r="B110" s="79"/>
      <c r="C110" s="80"/>
      <c r="D110" s="8">
        <f>SUM(D109)</f>
        <v>0</v>
      </c>
    </row>
    <row r="111" spans="1:4" ht="12.75" customHeight="1" x14ac:dyDescent="0.2">
      <c r="A111" s="105"/>
      <c r="B111" s="79"/>
      <c r="C111" s="79"/>
      <c r="D111" s="80"/>
    </row>
    <row r="112" spans="1:4" ht="15.75" customHeight="1" x14ac:dyDescent="0.2">
      <c r="A112" s="103" t="s">
        <v>115</v>
      </c>
      <c r="B112" s="79"/>
      <c r="C112" s="79"/>
      <c r="D112" s="80"/>
    </row>
    <row r="113" spans="1:4" ht="12.75" customHeight="1" x14ac:dyDescent="0.2">
      <c r="A113" s="4">
        <v>4</v>
      </c>
      <c r="B113" s="98" t="s">
        <v>83</v>
      </c>
      <c r="C113" s="80"/>
      <c r="D113" s="4" t="s">
        <v>29</v>
      </c>
    </row>
    <row r="114" spans="1:4" ht="12.75" customHeight="1" x14ac:dyDescent="0.2">
      <c r="A114" s="1" t="s">
        <v>98</v>
      </c>
      <c r="B114" s="101" t="s">
        <v>116</v>
      </c>
      <c r="C114" s="80"/>
      <c r="D114" s="6">
        <f>D105</f>
        <v>209.60250508821875</v>
      </c>
    </row>
    <row r="115" spans="1:4" ht="16.5" customHeight="1" x14ac:dyDescent="0.2">
      <c r="A115" s="1" t="s">
        <v>111</v>
      </c>
      <c r="B115" s="101" t="s">
        <v>112</v>
      </c>
      <c r="C115" s="80"/>
      <c r="D115" s="6">
        <f>D110</f>
        <v>0</v>
      </c>
    </row>
    <row r="116" spans="1:4" ht="16.5" customHeight="1" x14ac:dyDescent="0.2">
      <c r="A116" s="98" t="s">
        <v>84</v>
      </c>
      <c r="B116" s="79"/>
      <c r="C116" s="80"/>
      <c r="D116" s="8">
        <f>D114+D115</f>
        <v>209.60250508821875</v>
      </c>
    </row>
    <row r="117" spans="1:4" ht="12.75" customHeight="1" x14ac:dyDescent="0.2">
      <c r="A117" s="105"/>
      <c r="B117" s="79"/>
      <c r="C117" s="79"/>
      <c r="D117" s="80"/>
    </row>
    <row r="118" spans="1:4" ht="16.5" customHeight="1" x14ac:dyDescent="0.2">
      <c r="A118" s="102" t="s">
        <v>117</v>
      </c>
      <c r="B118" s="79"/>
      <c r="C118" s="79"/>
      <c r="D118" s="80"/>
    </row>
    <row r="119" spans="1:4" ht="12.75" customHeight="1" x14ac:dyDescent="0.2">
      <c r="A119" s="4">
        <v>5</v>
      </c>
      <c r="B119" s="98" t="s">
        <v>118</v>
      </c>
      <c r="C119" s="80"/>
      <c r="D119" s="4" t="s">
        <v>29</v>
      </c>
    </row>
    <row r="120" spans="1:4" ht="12.75" x14ac:dyDescent="0.2">
      <c r="A120" s="1" t="s">
        <v>5</v>
      </c>
      <c r="B120" s="106" t="s">
        <v>177</v>
      </c>
      <c r="C120" s="80"/>
      <c r="D120" s="6">
        <f>'EPI E UNIFORMES'!$F$12</f>
        <v>32.770000000000003</v>
      </c>
    </row>
    <row r="121" spans="1:4" ht="38.25" customHeight="1" x14ac:dyDescent="0.2">
      <c r="A121" s="1" t="s">
        <v>7</v>
      </c>
      <c r="B121" s="106" t="s">
        <v>178</v>
      </c>
      <c r="C121" s="80"/>
      <c r="D121" s="6">
        <f>'EPI E UNIFORMES'!$F$22</f>
        <v>34.880000000000003</v>
      </c>
    </row>
    <row r="122" spans="1:4" ht="38.25" customHeight="1" x14ac:dyDescent="0.2">
      <c r="A122" s="1" t="s">
        <v>10</v>
      </c>
      <c r="B122" s="106" t="s">
        <v>179</v>
      </c>
      <c r="C122" s="80"/>
      <c r="D122" s="6">
        <f>INSUMOS!$H$82</f>
        <v>739.04</v>
      </c>
    </row>
    <row r="123" spans="1:4" ht="40.5" customHeight="1" x14ac:dyDescent="0.2">
      <c r="A123" s="1" t="s">
        <v>13</v>
      </c>
      <c r="B123" s="106" t="s">
        <v>180</v>
      </c>
      <c r="C123" s="80"/>
      <c r="D123" s="6">
        <f>EQUIPAMENTOS!$J$26</f>
        <v>48.34</v>
      </c>
    </row>
    <row r="124" spans="1:4" ht="16.5" customHeight="1" x14ac:dyDescent="0.2">
      <c r="A124" s="1" t="s">
        <v>34</v>
      </c>
      <c r="B124" s="106" t="s">
        <v>123</v>
      </c>
      <c r="C124" s="80"/>
      <c r="D124" s="5">
        <v>0</v>
      </c>
    </row>
    <row r="125" spans="1:4" ht="16.5" customHeight="1" x14ac:dyDescent="0.2">
      <c r="A125" s="98" t="s">
        <v>124</v>
      </c>
      <c r="B125" s="79"/>
      <c r="C125" s="80"/>
      <c r="D125" s="8">
        <f>SUM(D120:D124)</f>
        <v>855.03</v>
      </c>
    </row>
    <row r="126" spans="1:4" ht="12.75" customHeight="1" x14ac:dyDescent="0.2">
      <c r="A126" s="105"/>
      <c r="B126" s="79"/>
      <c r="C126" s="79"/>
      <c r="D126" s="80"/>
    </row>
    <row r="127" spans="1:4" ht="16.5" customHeight="1" x14ac:dyDescent="0.2">
      <c r="A127" s="102" t="s">
        <v>125</v>
      </c>
      <c r="B127" s="79"/>
      <c r="C127" s="79"/>
      <c r="D127" s="80"/>
    </row>
    <row r="128" spans="1:4" ht="12.75" customHeight="1" x14ac:dyDescent="0.2">
      <c r="A128" s="4">
        <v>6</v>
      </c>
      <c r="B128" s="12" t="s">
        <v>126</v>
      </c>
      <c r="C128" s="4" t="s">
        <v>127</v>
      </c>
      <c r="D128" s="10" t="s">
        <v>29</v>
      </c>
    </row>
    <row r="129" spans="1:4" ht="12.75" customHeight="1" x14ac:dyDescent="0.2">
      <c r="A129" s="1" t="s">
        <v>5</v>
      </c>
      <c r="B129" s="9" t="s">
        <v>128</v>
      </c>
      <c r="C129" s="18">
        <f>BDI!H5</f>
        <v>3.6740000000000002E-2</v>
      </c>
      <c r="D129" s="6">
        <f>D150*C129</f>
        <v>135.43705490699617</v>
      </c>
    </row>
    <row r="130" spans="1:4" ht="44.25" customHeight="1" x14ac:dyDescent="0.2">
      <c r="A130" s="101" t="s">
        <v>129</v>
      </c>
      <c r="B130" s="79"/>
      <c r="C130" s="79"/>
      <c r="D130" s="80"/>
    </row>
    <row r="131" spans="1:4" ht="12.75" customHeight="1" x14ac:dyDescent="0.2">
      <c r="A131" s="1" t="s">
        <v>7</v>
      </c>
      <c r="B131" s="9" t="s">
        <v>130</v>
      </c>
      <c r="C131" s="18">
        <f>BDI!H6</f>
        <v>3.0520000000000002E-2</v>
      </c>
      <c r="D131" s="6">
        <f>(D150+D129)*C131</f>
        <v>116.64140270894397</v>
      </c>
    </row>
    <row r="132" spans="1:4" ht="42.75" customHeight="1" x14ac:dyDescent="0.2">
      <c r="A132" s="101" t="s">
        <v>131</v>
      </c>
      <c r="B132" s="79"/>
      <c r="C132" s="79"/>
      <c r="D132" s="80"/>
    </row>
    <row r="133" spans="1:4" ht="12.75" customHeight="1" x14ac:dyDescent="0.2">
      <c r="A133" s="1" t="s">
        <v>10</v>
      </c>
      <c r="B133" s="9" t="s">
        <v>132</v>
      </c>
      <c r="C133" s="13"/>
      <c r="D133" s="1"/>
    </row>
    <row r="134" spans="1:4" ht="41.25" customHeight="1" x14ac:dyDescent="0.2">
      <c r="A134" s="101" t="s">
        <v>133</v>
      </c>
      <c r="B134" s="79"/>
      <c r="C134" s="79"/>
      <c r="D134" s="80"/>
    </row>
    <row r="135" spans="1:4" ht="12.75" customHeight="1" x14ac:dyDescent="0.2">
      <c r="A135" s="110"/>
      <c r="B135" s="9" t="s">
        <v>134</v>
      </c>
      <c r="C135" s="13"/>
      <c r="D135" s="1"/>
    </row>
    <row r="136" spans="1:4" ht="12.75" customHeight="1" x14ac:dyDescent="0.2">
      <c r="A136" s="111"/>
      <c r="B136" s="9" t="s">
        <v>135</v>
      </c>
      <c r="C136" s="13">
        <v>1.6500000000000001E-2</v>
      </c>
      <c r="D136" s="6">
        <f t="shared" ref="D136:D137" si="2">($D$129+$D$131+$D$150)/(1-($C$136+$C$137+$C$139))*C136</f>
        <v>75.783462634978008</v>
      </c>
    </row>
    <row r="137" spans="1:4" ht="12.75" customHeight="1" x14ac:dyDescent="0.2">
      <c r="A137" s="111"/>
      <c r="B137" s="9" t="s">
        <v>136</v>
      </c>
      <c r="C137" s="13">
        <v>7.5999999999999998E-2</v>
      </c>
      <c r="D137" s="6">
        <f t="shared" si="2"/>
        <v>349.06322183383804</v>
      </c>
    </row>
    <row r="138" spans="1:4" ht="12.75" customHeight="1" x14ac:dyDescent="0.2">
      <c r="A138" s="111"/>
      <c r="B138" s="9" t="s">
        <v>137</v>
      </c>
      <c r="C138" s="13"/>
      <c r="D138" s="1"/>
    </row>
    <row r="139" spans="1:4" ht="12.75" customHeight="1" x14ac:dyDescent="0.2">
      <c r="A139" s="111"/>
      <c r="B139" s="9" t="s">
        <v>138</v>
      </c>
      <c r="C139" s="107">
        <v>0.05</v>
      </c>
      <c r="D139" s="109">
        <f>($D$129+$D$131+$D$150)/(1-($C$136+$C$137+$C$139))*C139</f>
        <v>229.64685646963031</v>
      </c>
    </row>
    <row r="140" spans="1:4" ht="12.75" customHeight="1" x14ac:dyDescent="0.2">
      <c r="A140" s="108"/>
      <c r="B140" s="9" t="s">
        <v>139</v>
      </c>
      <c r="C140" s="108"/>
      <c r="D140" s="108"/>
    </row>
    <row r="141" spans="1:4" ht="12.75" customHeight="1" x14ac:dyDescent="0.2">
      <c r="A141" s="98" t="s">
        <v>140</v>
      </c>
      <c r="B141" s="79"/>
      <c r="C141" s="80"/>
      <c r="D141" s="19">
        <f>SUM(D129:D139)</f>
        <v>906.57199855438648</v>
      </c>
    </row>
    <row r="142" spans="1:4" ht="26.25" customHeight="1" x14ac:dyDescent="0.2">
      <c r="A142" s="113" t="s">
        <v>141</v>
      </c>
      <c r="B142" s="79"/>
      <c r="C142" s="79"/>
      <c r="D142" s="80"/>
    </row>
    <row r="143" spans="1:4" ht="12.75" customHeight="1" x14ac:dyDescent="0.2">
      <c r="A143" s="100" t="s">
        <v>142</v>
      </c>
      <c r="B143" s="79"/>
      <c r="C143" s="79"/>
      <c r="D143" s="80"/>
    </row>
    <row r="144" spans="1:4" ht="12.75" customHeight="1" x14ac:dyDescent="0.2">
      <c r="A144" s="20"/>
      <c r="B144" s="98" t="s">
        <v>143</v>
      </c>
      <c r="C144" s="80"/>
      <c r="D144" s="7" t="s">
        <v>144</v>
      </c>
    </row>
    <row r="145" spans="1:4" ht="12.75" customHeight="1" x14ac:dyDescent="0.2">
      <c r="A145" s="1" t="s">
        <v>5</v>
      </c>
      <c r="B145" s="101" t="s">
        <v>145</v>
      </c>
      <c r="C145" s="80"/>
      <c r="D145" s="6">
        <f>D39</f>
        <v>1244.25</v>
      </c>
    </row>
    <row r="146" spans="1:4" ht="12.75" customHeight="1" x14ac:dyDescent="0.2">
      <c r="A146" s="1" t="s">
        <v>7</v>
      </c>
      <c r="B146" s="101" t="s">
        <v>146</v>
      </c>
      <c r="C146" s="80"/>
      <c r="D146" s="6">
        <f>D79</f>
        <v>1286.4418726500001</v>
      </c>
    </row>
    <row r="147" spans="1:4" ht="26.25" customHeight="1" x14ac:dyDescent="0.2">
      <c r="A147" s="1" t="s">
        <v>10</v>
      </c>
      <c r="B147" s="101" t="s">
        <v>147</v>
      </c>
      <c r="C147" s="80"/>
      <c r="D147" s="6">
        <f>D89</f>
        <v>91.040753100000018</v>
      </c>
    </row>
    <row r="148" spans="1:4" ht="16.5" customHeight="1" x14ac:dyDescent="0.2">
      <c r="A148" s="1" t="s">
        <v>13</v>
      </c>
      <c r="B148" s="101" t="s">
        <v>148</v>
      </c>
      <c r="C148" s="80"/>
      <c r="D148" s="6">
        <f>D116</f>
        <v>209.60250508821875</v>
      </c>
    </row>
    <row r="149" spans="1:4" ht="16.5" customHeight="1" x14ac:dyDescent="0.2">
      <c r="A149" s="1" t="s">
        <v>34</v>
      </c>
      <c r="B149" s="101" t="s">
        <v>149</v>
      </c>
      <c r="C149" s="80"/>
      <c r="D149" s="6">
        <f>D125</f>
        <v>855.03</v>
      </c>
    </row>
    <row r="150" spans="1:4" ht="16.5" customHeight="1" x14ac:dyDescent="0.2">
      <c r="A150" s="104" t="s">
        <v>150</v>
      </c>
      <c r="B150" s="79"/>
      <c r="C150" s="80"/>
      <c r="D150" s="11">
        <f>SUM(D145:D149)</f>
        <v>3686.3651308382186</v>
      </c>
    </row>
    <row r="151" spans="1:4" ht="16.5" customHeight="1" x14ac:dyDescent="0.2">
      <c r="A151" s="1" t="s">
        <v>36</v>
      </c>
      <c r="B151" s="101" t="s">
        <v>151</v>
      </c>
      <c r="C151" s="80"/>
      <c r="D151" s="6">
        <f>D141</f>
        <v>906.57199855438648</v>
      </c>
    </row>
    <row r="152" spans="1:4" ht="16.5" customHeight="1" x14ac:dyDescent="0.2">
      <c r="A152" s="1" t="s">
        <v>38</v>
      </c>
      <c r="B152" s="101" t="s">
        <v>152</v>
      </c>
      <c r="C152" s="80"/>
      <c r="D152" s="6">
        <v>0</v>
      </c>
    </row>
    <row r="153" spans="1:4" ht="16.5" customHeight="1" x14ac:dyDescent="0.2">
      <c r="A153" s="112" t="s">
        <v>153</v>
      </c>
      <c r="B153" s="79"/>
      <c r="C153" s="80"/>
      <c r="D153" s="21">
        <f>SUM(D151+D150+D152)</f>
        <v>4592.9371293926051</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8:D8"/>
    <mergeCell ref="A4:D4"/>
    <mergeCell ref="A5:D5"/>
    <mergeCell ref="A6:D7"/>
    <mergeCell ref="A9:D9"/>
    <mergeCell ref="B10:C10"/>
  </mergeCells>
  <pageMargins left="0.25" right="0.25" top="0.75" bottom="0.75" header="0" footer="0"/>
  <pageSetup paperSize="9" fitToHeight="0"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topLeftCell="A94" workbookViewId="0">
      <selection sqref="A1:D1"/>
    </sheetView>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78" t="s">
        <v>0</v>
      </c>
      <c r="B1" s="79"/>
      <c r="C1" s="79"/>
      <c r="D1" s="80"/>
    </row>
    <row r="2" spans="1:4" ht="31.5" customHeight="1" x14ac:dyDescent="0.2">
      <c r="A2" s="112" t="s">
        <v>181</v>
      </c>
      <c r="B2" s="79"/>
      <c r="C2" s="79"/>
      <c r="D2" s="80"/>
    </row>
    <row r="3" spans="1:4" ht="12.75" customHeight="1" x14ac:dyDescent="0.2">
      <c r="A3" s="82"/>
      <c r="B3" s="83"/>
      <c r="C3" s="83"/>
      <c r="D3" s="84"/>
    </row>
    <row r="4" spans="1:4" ht="12.75" customHeight="1" x14ac:dyDescent="0.2">
      <c r="A4" s="85" t="s">
        <v>2</v>
      </c>
      <c r="B4" s="86"/>
      <c r="C4" s="86"/>
      <c r="D4" s="87"/>
    </row>
    <row r="5" spans="1:4" ht="12.75" customHeight="1" x14ac:dyDescent="0.2">
      <c r="A5" s="85" t="s">
        <v>3</v>
      </c>
      <c r="B5" s="86"/>
      <c r="C5" s="86"/>
      <c r="D5" s="87"/>
    </row>
    <row r="6" spans="1:4" ht="12.75" customHeight="1" x14ac:dyDescent="0.2">
      <c r="A6" s="88"/>
      <c r="B6" s="86"/>
      <c r="C6" s="86"/>
      <c r="D6" s="87"/>
    </row>
    <row r="7" spans="1:4" ht="12.75" customHeight="1" x14ac:dyDescent="0.2">
      <c r="A7" s="89"/>
      <c r="B7" s="86"/>
      <c r="C7" s="86"/>
      <c r="D7" s="87"/>
    </row>
    <row r="8" spans="1:4" ht="12.75" customHeight="1" x14ac:dyDescent="0.2">
      <c r="A8" s="90"/>
      <c r="B8" s="91"/>
      <c r="C8" s="91"/>
      <c r="D8" s="92"/>
    </row>
    <row r="9" spans="1:4" ht="13.5" customHeight="1" x14ac:dyDescent="0.2">
      <c r="A9" s="93" t="s">
        <v>4</v>
      </c>
      <c r="B9" s="94"/>
      <c r="C9" s="94"/>
      <c r="D9" s="95"/>
    </row>
    <row r="10" spans="1:4" ht="12.75" customHeight="1" x14ac:dyDescent="0.2">
      <c r="A10" s="1" t="s">
        <v>5</v>
      </c>
      <c r="B10" s="96" t="s">
        <v>6</v>
      </c>
      <c r="C10" s="80"/>
      <c r="D10" s="1"/>
    </row>
    <row r="11" spans="1:4" ht="12.75" customHeight="1" x14ac:dyDescent="0.2">
      <c r="A11" s="1" t="s">
        <v>7</v>
      </c>
      <c r="B11" s="96" t="s">
        <v>8</v>
      </c>
      <c r="C11" s="80"/>
      <c r="D11" s="1" t="s">
        <v>9</v>
      </c>
    </row>
    <row r="12" spans="1:4" ht="12.75" customHeight="1" x14ac:dyDescent="0.2">
      <c r="A12" s="1" t="s">
        <v>10</v>
      </c>
      <c r="B12" s="96" t="s">
        <v>11</v>
      </c>
      <c r="C12" s="80"/>
      <c r="D12" s="1" t="s">
        <v>12</v>
      </c>
    </row>
    <row r="13" spans="1:4" ht="12.75" customHeight="1" x14ac:dyDescent="0.2">
      <c r="A13" s="1" t="s">
        <v>13</v>
      </c>
      <c r="B13" s="96" t="s">
        <v>14</v>
      </c>
      <c r="C13" s="80"/>
      <c r="D13" s="1">
        <v>12</v>
      </c>
    </row>
    <row r="14" spans="1:4" ht="12.75" customHeight="1" x14ac:dyDescent="0.2">
      <c r="A14" s="97"/>
      <c r="B14" s="79"/>
      <c r="C14" s="79"/>
      <c r="D14" s="80"/>
    </row>
    <row r="15" spans="1:4" ht="12.75" customHeight="1" x14ac:dyDescent="0.2">
      <c r="A15" s="93" t="s">
        <v>15</v>
      </c>
      <c r="B15" s="94"/>
      <c r="C15" s="94"/>
      <c r="D15" s="95"/>
    </row>
    <row r="16" spans="1:4" ht="12.75" customHeight="1" x14ac:dyDescent="0.2">
      <c r="A16" s="98" t="s">
        <v>16</v>
      </c>
      <c r="B16" s="79"/>
      <c r="C16" s="79"/>
      <c r="D16" s="80"/>
    </row>
    <row r="17" spans="1:4" ht="12.75" customHeight="1" x14ac:dyDescent="0.2">
      <c r="A17" s="96" t="s">
        <v>17</v>
      </c>
      <c r="B17" s="79"/>
      <c r="C17" s="79"/>
      <c r="D17" s="80"/>
    </row>
    <row r="18" spans="1:4" ht="12.75" customHeight="1" x14ac:dyDescent="0.2">
      <c r="A18" s="97"/>
      <c r="B18" s="79"/>
      <c r="C18" s="79"/>
      <c r="D18" s="80"/>
    </row>
    <row r="19" spans="1:4" ht="20.25" customHeight="1" x14ac:dyDescent="0.2">
      <c r="A19" s="99" t="s">
        <v>18</v>
      </c>
      <c r="B19" s="79"/>
      <c r="C19" s="79"/>
      <c r="D19" s="80"/>
    </row>
    <row r="20" spans="1:4" ht="12.75" customHeight="1" x14ac:dyDescent="0.2">
      <c r="A20" s="100" t="s">
        <v>19</v>
      </c>
      <c r="B20" s="79"/>
      <c r="C20" s="79"/>
      <c r="D20" s="80"/>
    </row>
    <row r="21" spans="1:4" ht="15.75" customHeight="1" x14ac:dyDescent="0.2">
      <c r="A21" s="98" t="s">
        <v>20</v>
      </c>
      <c r="B21" s="79"/>
      <c r="C21" s="79"/>
      <c r="D21" s="80"/>
    </row>
    <row r="22" spans="1:4" ht="12.75" x14ac:dyDescent="0.2">
      <c r="A22" s="1">
        <v>1</v>
      </c>
      <c r="B22" s="101" t="s">
        <v>21</v>
      </c>
      <c r="C22" s="80"/>
      <c r="D22" s="1" t="str">
        <f>A17</f>
        <v>Limpeza e Conservação</v>
      </c>
    </row>
    <row r="23" spans="1:4" ht="12.75" customHeight="1" x14ac:dyDescent="0.2">
      <c r="A23" s="1">
        <v>2</v>
      </c>
      <c r="B23" s="101" t="s">
        <v>22</v>
      </c>
      <c r="C23" s="80"/>
      <c r="D23" s="1" t="s">
        <v>23</v>
      </c>
    </row>
    <row r="24" spans="1:4" ht="12.75" customHeight="1" x14ac:dyDescent="0.2">
      <c r="A24" s="1">
        <v>3</v>
      </c>
      <c r="B24" s="101" t="s">
        <v>24</v>
      </c>
      <c r="C24" s="80"/>
      <c r="D24" s="2">
        <v>1198.0899999999999</v>
      </c>
    </row>
    <row r="25" spans="1:4" ht="78.75" customHeight="1" x14ac:dyDescent="0.2">
      <c r="A25" s="1">
        <v>4</v>
      </c>
      <c r="B25" s="101" t="s">
        <v>25</v>
      </c>
      <c r="C25" s="80"/>
      <c r="D25" s="1" t="str">
        <f>A2</f>
        <v>SERVENTE DE LIMPEZA  (44 HORAS de segunda a sábado) com insalubridade 10%, para limpeza geral com prioridade para os banheiros com até 20 usuários por dia</v>
      </c>
    </row>
    <row r="26" spans="1:4" ht="12.75" customHeight="1" x14ac:dyDescent="0.2">
      <c r="A26" s="1">
        <v>5</v>
      </c>
      <c r="B26" s="101" t="s">
        <v>26</v>
      </c>
      <c r="C26" s="80"/>
      <c r="D26" s="3">
        <v>44197</v>
      </c>
    </row>
    <row r="27" spans="1:4" ht="12.75" customHeight="1" x14ac:dyDescent="0.2">
      <c r="A27" s="97"/>
      <c r="B27" s="79"/>
      <c r="C27" s="79"/>
      <c r="D27" s="80"/>
    </row>
    <row r="28" spans="1:4" ht="12.75" customHeight="1" x14ac:dyDescent="0.2">
      <c r="A28" s="102" t="s">
        <v>27</v>
      </c>
      <c r="B28" s="79"/>
      <c r="C28" s="79"/>
      <c r="D28" s="80"/>
    </row>
    <row r="29" spans="1:4" ht="12.75" customHeight="1" x14ac:dyDescent="0.2">
      <c r="A29" s="4">
        <v>1</v>
      </c>
      <c r="B29" s="98" t="s">
        <v>28</v>
      </c>
      <c r="C29" s="80"/>
      <c r="D29" s="4" t="s">
        <v>29</v>
      </c>
    </row>
    <row r="30" spans="1:4" ht="12.75" customHeight="1" x14ac:dyDescent="0.2">
      <c r="A30" s="1" t="s">
        <v>5</v>
      </c>
      <c r="B30" s="101" t="s">
        <v>30</v>
      </c>
      <c r="C30" s="80"/>
      <c r="D30" s="5">
        <v>1198.0899999999999</v>
      </c>
    </row>
    <row r="31" spans="1:4" ht="12.75" customHeight="1" x14ac:dyDescent="0.2">
      <c r="A31" s="1" t="s">
        <v>7</v>
      </c>
      <c r="B31" s="101" t="s">
        <v>31</v>
      </c>
      <c r="C31" s="80"/>
      <c r="D31" s="6">
        <v>0</v>
      </c>
    </row>
    <row r="32" spans="1:4" ht="35.25" customHeight="1" x14ac:dyDescent="0.2">
      <c r="A32" s="1" t="s">
        <v>10</v>
      </c>
      <c r="B32" s="101" t="s">
        <v>182</v>
      </c>
      <c r="C32" s="80"/>
      <c r="D32" s="6">
        <f>1100*0.1</f>
        <v>110</v>
      </c>
    </row>
    <row r="33" spans="1:4" ht="36.75" customHeight="1" x14ac:dyDescent="0.2">
      <c r="A33" s="1" t="s">
        <v>13</v>
      </c>
      <c r="B33" s="101" t="s">
        <v>183</v>
      </c>
      <c r="C33" s="80"/>
      <c r="D33" s="6">
        <v>0</v>
      </c>
    </row>
    <row r="34" spans="1:4" ht="24.75" customHeight="1" x14ac:dyDescent="0.2">
      <c r="A34" s="1" t="s">
        <v>34</v>
      </c>
      <c r="B34" s="101" t="s">
        <v>184</v>
      </c>
      <c r="C34" s="80"/>
      <c r="D34" s="6">
        <v>0</v>
      </c>
    </row>
    <row r="35" spans="1:4" ht="32.25" customHeight="1" x14ac:dyDescent="0.2">
      <c r="A35" s="1" t="s">
        <v>36</v>
      </c>
      <c r="B35" s="101" t="s">
        <v>185</v>
      </c>
      <c r="C35" s="80"/>
      <c r="D35" s="6">
        <v>0</v>
      </c>
    </row>
    <row r="36" spans="1:4" ht="26.25" customHeight="1" x14ac:dyDescent="0.2">
      <c r="A36" s="1" t="s">
        <v>38</v>
      </c>
      <c r="B36" s="101" t="s">
        <v>186</v>
      </c>
      <c r="C36" s="80"/>
      <c r="D36" s="6">
        <v>0</v>
      </c>
    </row>
    <row r="37" spans="1:4" ht="12.75" customHeight="1" x14ac:dyDescent="0.2">
      <c r="A37" s="1" t="s">
        <v>40</v>
      </c>
      <c r="B37" s="101" t="s">
        <v>41</v>
      </c>
      <c r="C37" s="80"/>
      <c r="D37" s="5">
        <v>46.16</v>
      </c>
    </row>
    <row r="38" spans="1:4" ht="12.75" customHeight="1" x14ac:dyDescent="0.2">
      <c r="A38" s="1" t="s">
        <v>42</v>
      </c>
      <c r="B38" s="101" t="s">
        <v>43</v>
      </c>
      <c r="C38" s="80"/>
      <c r="D38" s="6">
        <v>0</v>
      </c>
    </row>
    <row r="39" spans="1:4" ht="12.75" customHeight="1" x14ac:dyDescent="0.2">
      <c r="A39" s="7"/>
      <c r="B39" s="98" t="s">
        <v>44</v>
      </c>
      <c r="C39" s="80"/>
      <c r="D39" s="8">
        <f>SUM(D30:D38)</f>
        <v>1354.25</v>
      </c>
    </row>
    <row r="40" spans="1:4" ht="12.75" customHeight="1" x14ac:dyDescent="0.2">
      <c r="A40" s="96" t="s">
        <v>45</v>
      </c>
      <c r="B40" s="79"/>
      <c r="C40" s="79"/>
      <c r="D40" s="80"/>
    </row>
    <row r="41" spans="1:4" ht="12.75" customHeight="1" x14ac:dyDescent="0.2">
      <c r="A41" s="97"/>
      <c r="B41" s="79"/>
      <c r="C41" s="79"/>
      <c r="D41" s="80"/>
    </row>
    <row r="42" spans="1:4" ht="12.75" customHeight="1" x14ac:dyDescent="0.2">
      <c r="A42" s="102" t="s">
        <v>46</v>
      </c>
      <c r="B42" s="79"/>
      <c r="C42" s="79"/>
      <c r="D42" s="80"/>
    </row>
    <row r="43" spans="1:4" ht="12.75" customHeight="1" x14ac:dyDescent="0.2">
      <c r="A43" s="103" t="s">
        <v>47</v>
      </c>
      <c r="B43" s="79"/>
      <c r="C43" s="79"/>
      <c r="D43" s="80"/>
    </row>
    <row r="44" spans="1:4" ht="12.75" customHeight="1" x14ac:dyDescent="0.2">
      <c r="A44" s="4" t="s">
        <v>48</v>
      </c>
      <c r="B44" s="98" t="s">
        <v>49</v>
      </c>
      <c r="C44" s="80"/>
      <c r="D44" s="4" t="s">
        <v>29</v>
      </c>
    </row>
    <row r="45" spans="1:4" ht="25.5" x14ac:dyDescent="0.2">
      <c r="A45" s="1" t="s">
        <v>5</v>
      </c>
      <c r="B45" s="9" t="s">
        <v>187</v>
      </c>
      <c r="C45" s="10" t="s">
        <v>51</v>
      </c>
      <c r="D45" s="6">
        <f>D39*0.0833</f>
        <v>112.80902500000001</v>
      </c>
    </row>
    <row r="46" spans="1:4" ht="25.5" x14ac:dyDescent="0.2">
      <c r="A46" s="1" t="s">
        <v>7</v>
      </c>
      <c r="B46" s="9" t="s">
        <v>188</v>
      </c>
      <c r="C46" s="10" t="s">
        <v>51</v>
      </c>
      <c r="D46" s="6">
        <f>D39*0.0278</f>
        <v>37.648150000000001</v>
      </c>
    </row>
    <row r="47" spans="1:4" ht="12.75" customHeight="1" x14ac:dyDescent="0.2">
      <c r="A47" s="104" t="s">
        <v>53</v>
      </c>
      <c r="B47" s="79"/>
      <c r="C47" s="80"/>
      <c r="D47" s="11">
        <f>SUM(D45:D46)</f>
        <v>150.45717500000001</v>
      </c>
    </row>
    <row r="48" spans="1:4" ht="25.5" x14ac:dyDescent="0.2">
      <c r="A48" s="1" t="s">
        <v>10</v>
      </c>
      <c r="B48" s="9" t="s">
        <v>189</v>
      </c>
      <c r="C48" s="10" t="s">
        <v>51</v>
      </c>
      <c r="D48" s="6">
        <f>(D45+D46)*C61</f>
        <v>59.881955650000016</v>
      </c>
    </row>
    <row r="49" spans="1:4" ht="12.75" customHeight="1" x14ac:dyDescent="0.2">
      <c r="A49" s="98" t="s">
        <v>55</v>
      </c>
      <c r="B49" s="79"/>
      <c r="C49" s="80"/>
      <c r="D49" s="8">
        <f>D47+D48</f>
        <v>210.33913065000002</v>
      </c>
    </row>
    <row r="50" spans="1:4" ht="55.5" customHeight="1" x14ac:dyDescent="0.2">
      <c r="A50" s="101" t="s">
        <v>56</v>
      </c>
      <c r="B50" s="79"/>
      <c r="C50" s="79"/>
      <c r="D50" s="80"/>
    </row>
    <row r="51" spans="1:4" ht="12.75" customHeight="1" x14ac:dyDescent="0.2">
      <c r="A51" s="100" t="s">
        <v>57</v>
      </c>
      <c r="B51" s="79"/>
      <c r="C51" s="79"/>
      <c r="D51" s="80"/>
    </row>
    <row r="52" spans="1:4" ht="12.75" customHeight="1" x14ac:dyDescent="0.2">
      <c r="A52" s="4" t="s">
        <v>58</v>
      </c>
      <c r="B52" s="12" t="s">
        <v>59</v>
      </c>
      <c r="C52" s="4" t="s">
        <v>60</v>
      </c>
      <c r="D52" s="4" t="s">
        <v>29</v>
      </c>
    </row>
    <row r="53" spans="1:4" ht="12.75" customHeight="1" x14ac:dyDescent="0.2">
      <c r="A53" s="1" t="s">
        <v>5</v>
      </c>
      <c r="B53" s="9" t="s">
        <v>61</v>
      </c>
      <c r="C53" s="13">
        <v>0.2</v>
      </c>
      <c r="D53" s="6">
        <f t="shared" ref="D53:D60" si="0">C53*$D$39</f>
        <v>270.85000000000002</v>
      </c>
    </row>
    <row r="54" spans="1:4" ht="12.75" customHeight="1" x14ac:dyDescent="0.2">
      <c r="A54" s="1" t="s">
        <v>7</v>
      </c>
      <c r="B54" s="9" t="s">
        <v>62</v>
      </c>
      <c r="C54" s="13">
        <v>2.5000000000000001E-2</v>
      </c>
      <c r="D54" s="6">
        <f t="shared" si="0"/>
        <v>33.856250000000003</v>
      </c>
    </row>
    <row r="55" spans="1:4" ht="12.75" customHeight="1" x14ac:dyDescent="0.2">
      <c r="A55" s="1" t="s">
        <v>10</v>
      </c>
      <c r="B55" s="9" t="s">
        <v>63</v>
      </c>
      <c r="C55" s="13">
        <v>0.06</v>
      </c>
      <c r="D55" s="6">
        <f t="shared" si="0"/>
        <v>81.254999999999995</v>
      </c>
    </row>
    <row r="56" spans="1:4" ht="12.75" customHeight="1" x14ac:dyDescent="0.2">
      <c r="A56" s="1" t="s">
        <v>13</v>
      </c>
      <c r="B56" s="9" t="s">
        <v>64</v>
      </c>
      <c r="C56" s="13">
        <v>1.4999999999999999E-2</v>
      </c>
      <c r="D56" s="6">
        <f t="shared" si="0"/>
        <v>20.313749999999999</v>
      </c>
    </row>
    <row r="57" spans="1:4" ht="12.75" customHeight="1" x14ac:dyDescent="0.2">
      <c r="A57" s="1" t="s">
        <v>34</v>
      </c>
      <c r="B57" s="9" t="s">
        <v>65</v>
      </c>
      <c r="C57" s="13">
        <v>0.01</v>
      </c>
      <c r="D57" s="6">
        <f t="shared" si="0"/>
        <v>13.5425</v>
      </c>
    </row>
    <row r="58" spans="1:4" ht="12.75" customHeight="1" x14ac:dyDescent="0.2">
      <c r="A58" s="1" t="s">
        <v>36</v>
      </c>
      <c r="B58" s="9" t="s">
        <v>66</v>
      </c>
      <c r="C58" s="13">
        <v>6.0000000000000001E-3</v>
      </c>
      <c r="D58" s="6">
        <f t="shared" si="0"/>
        <v>8.1255000000000006</v>
      </c>
    </row>
    <row r="59" spans="1:4" ht="12.75" customHeight="1" x14ac:dyDescent="0.2">
      <c r="A59" s="1" t="s">
        <v>38</v>
      </c>
      <c r="B59" s="9" t="s">
        <v>67</v>
      </c>
      <c r="C59" s="13">
        <v>2E-3</v>
      </c>
      <c r="D59" s="6">
        <f t="shared" si="0"/>
        <v>2.7084999999999999</v>
      </c>
    </row>
    <row r="60" spans="1:4" ht="12.75" customHeight="1" x14ac:dyDescent="0.2">
      <c r="A60" s="1" t="s">
        <v>40</v>
      </c>
      <c r="B60" s="9" t="s">
        <v>68</v>
      </c>
      <c r="C60" s="13">
        <v>0.08</v>
      </c>
      <c r="D60" s="6">
        <f t="shared" si="0"/>
        <v>108.34</v>
      </c>
    </row>
    <row r="61" spans="1:4" ht="12.75" customHeight="1" x14ac:dyDescent="0.2">
      <c r="A61" s="7"/>
      <c r="B61" s="12" t="s">
        <v>69</v>
      </c>
      <c r="C61" s="14">
        <f t="shared" ref="C61:D61" si="1">SUM(C53:C60)</f>
        <v>0.39800000000000008</v>
      </c>
      <c r="D61" s="8">
        <f t="shared" si="1"/>
        <v>538.99149999999997</v>
      </c>
    </row>
    <row r="62" spans="1:4" ht="12.75" customHeight="1" x14ac:dyDescent="0.2">
      <c r="A62" s="105"/>
      <c r="B62" s="79"/>
      <c r="C62" s="79"/>
      <c r="D62" s="80"/>
    </row>
    <row r="63" spans="1:4" ht="12.75" customHeight="1" x14ac:dyDescent="0.2">
      <c r="A63" s="103" t="s">
        <v>70</v>
      </c>
      <c r="B63" s="79"/>
      <c r="C63" s="79"/>
      <c r="D63" s="80"/>
    </row>
    <row r="64" spans="1:4" ht="12.75" customHeight="1" x14ac:dyDescent="0.2">
      <c r="A64" s="4" t="s">
        <v>71</v>
      </c>
      <c r="B64" s="98" t="s">
        <v>72</v>
      </c>
      <c r="C64" s="80"/>
      <c r="D64" s="4" t="s">
        <v>29</v>
      </c>
    </row>
    <row r="65" spans="1:4" ht="12.75" customHeight="1" x14ac:dyDescent="0.2">
      <c r="A65" s="1" t="s">
        <v>5</v>
      </c>
      <c r="B65" s="101" t="s">
        <v>73</v>
      </c>
      <c r="C65" s="80"/>
      <c r="D65" s="15">
        <f>(4.1*2*22)-0.06*D30</f>
        <v>108.51459999999999</v>
      </c>
    </row>
    <row r="66" spans="1:4" ht="16.5" customHeight="1" x14ac:dyDescent="0.2">
      <c r="A66" s="1" t="s">
        <v>7</v>
      </c>
      <c r="B66" s="101" t="s">
        <v>74</v>
      </c>
      <c r="C66" s="80"/>
      <c r="D66" s="5">
        <f>(16*21.083)-(16*21.083)*0.05</f>
        <v>320.46159999999998</v>
      </c>
    </row>
    <row r="67" spans="1:4" ht="24" customHeight="1" x14ac:dyDescent="0.2">
      <c r="A67" s="1" t="s">
        <v>10</v>
      </c>
      <c r="B67" s="101" t="s">
        <v>75</v>
      </c>
      <c r="C67" s="80"/>
      <c r="D67" s="5">
        <v>0</v>
      </c>
    </row>
    <row r="68" spans="1:4" ht="16.5" customHeight="1" x14ac:dyDescent="0.2">
      <c r="A68" s="1" t="s">
        <v>13</v>
      </c>
      <c r="B68" s="101" t="s">
        <v>76</v>
      </c>
      <c r="C68" s="80"/>
      <c r="D68" s="5">
        <v>0</v>
      </c>
    </row>
    <row r="69" spans="1:4" ht="27" customHeight="1" x14ac:dyDescent="0.2">
      <c r="A69" s="1" t="s">
        <v>34</v>
      </c>
      <c r="B69" s="101" t="s">
        <v>77</v>
      </c>
      <c r="C69" s="80"/>
      <c r="D69" s="5">
        <f>4.2+10.2+13+10.2+11.4</f>
        <v>48.999999999999993</v>
      </c>
    </row>
    <row r="70" spans="1:4" ht="27" customHeight="1" x14ac:dyDescent="0.2">
      <c r="A70" s="1" t="s">
        <v>36</v>
      </c>
      <c r="B70" s="101" t="s">
        <v>78</v>
      </c>
      <c r="C70" s="80"/>
      <c r="D70" s="5">
        <v>120</v>
      </c>
    </row>
    <row r="71" spans="1:4" ht="16.5" customHeight="1" x14ac:dyDescent="0.2">
      <c r="A71" s="1" t="s">
        <v>38</v>
      </c>
      <c r="B71" s="101" t="s">
        <v>79</v>
      </c>
      <c r="C71" s="80"/>
      <c r="D71" s="6">
        <v>0</v>
      </c>
    </row>
    <row r="72" spans="1:4" ht="16.5" customHeight="1" x14ac:dyDescent="0.2">
      <c r="A72" s="98" t="s">
        <v>80</v>
      </c>
      <c r="B72" s="79"/>
      <c r="C72" s="80"/>
      <c r="D72" s="8">
        <f>SUM(D65:D71)</f>
        <v>597.97619999999995</v>
      </c>
    </row>
    <row r="73" spans="1:4" ht="44.25" customHeight="1" x14ac:dyDescent="0.2">
      <c r="A73" s="101" t="s">
        <v>81</v>
      </c>
      <c r="B73" s="79"/>
      <c r="C73" s="79"/>
      <c r="D73" s="80"/>
    </row>
    <row r="74" spans="1:4" ht="16.5" customHeight="1" x14ac:dyDescent="0.2">
      <c r="A74" s="103" t="s">
        <v>82</v>
      </c>
      <c r="B74" s="79"/>
      <c r="C74" s="79"/>
      <c r="D74" s="80"/>
    </row>
    <row r="75" spans="1:4" ht="12.75" customHeight="1" x14ac:dyDescent="0.2">
      <c r="A75" s="4">
        <v>2</v>
      </c>
      <c r="B75" s="98" t="s">
        <v>83</v>
      </c>
      <c r="C75" s="80"/>
      <c r="D75" s="4" t="s">
        <v>29</v>
      </c>
    </row>
    <row r="76" spans="1:4" ht="12.75" customHeight="1" x14ac:dyDescent="0.2">
      <c r="A76" s="1" t="s">
        <v>48</v>
      </c>
      <c r="B76" s="101" t="s">
        <v>49</v>
      </c>
      <c r="C76" s="80"/>
      <c r="D76" s="6">
        <f>D49</f>
        <v>210.33913065000002</v>
      </c>
    </row>
    <row r="77" spans="1:4" ht="16.5" customHeight="1" x14ac:dyDescent="0.2">
      <c r="A77" s="1" t="s">
        <v>58</v>
      </c>
      <c r="B77" s="101" t="s">
        <v>59</v>
      </c>
      <c r="C77" s="80"/>
      <c r="D77" s="6">
        <f>D61</f>
        <v>538.99149999999997</v>
      </c>
    </row>
    <row r="78" spans="1:4" ht="16.5" customHeight="1" x14ac:dyDescent="0.2">
      <c r="A78" s="1" t="s">
        <v>71</v>
      </c>
      <c r="B78" s="101" t="s">
        <v>72</v>
      </c>
      <c r="C78" s="80"/>
      <c r="D78" s="6">
        <f>D72</f>
        <v>597.97619999999995</v>
      </c>
    </row>
    <row r="79" spans="1:4" ht="16.5" customHeight="1" x14ac:dyDescent="0.2">
      <c r="A79" s="98" t="s">
        <v>84</v>
      </c>
      <c r="B79" s="79"/>
      <c r="C79" s="80"/>
      <c r="D79" s="8">
        <f>SUM(D76:D78)</f>
        <v>1347.3068306499999</v>
      </c>
    </row>
    <row r="80" spans="1:4" ht="12.75" customHeight="1" x14ac:dyDescent="0.2">
      <c r="A80" s="105"/>
      <c r="B80" s="79"/>
      <c r="C80" s="79"/>
      <c r="D80" s="80"/>
    </row>
    <row r="81" spans="1:4" ht="16.5" customHeight="1" x14ac:dyDescent="0.2">
      <c r="A81" s="102" t="s">
        <v>85</v>
      </c>
      <c r="B81" s="79"/>
      <c r="C81" s="79"/>
      <c r="D81" s="80"/>
    </row>
    <row r="82" spans="1:4" ht="12.75" customHeight="1" x14ac:dyDescent="0.2">
      <c r="A82" s="4">
        <v>3</v>
      </c>
      <c r="B82" s="98" t="s">
        <v>86</v>
      </c>
      <c r="C82" s="80"/>
      <c r="D82" s="4" t="s">
        <v>29</v>
      </c>
    </row>
    <row r="83" spans="1:4" ht="66.75" customHeight="1" x14ac:dyDescent="0.2">
      <c r="A83" s="1" t="s">
        <v>5</v>
      </c>
      <c r="B83" s="101" t="s">
        <v>190</v>
      </c>
      <c r="C83" s="80"/>
      <c r="D83" s="6">
        <f>ROUND((($D$39/12)+($D$45/12)+($D$39/12/12)+($D$46/12))*(30/30)*0.05,2)</f>
        <v>6.74</v>
      </c>
    </row>
    <row r="84" spans="1:4" ht="26.25" customHeight="1" x14ac:dyDescent="0.2">
      <c r="A84" s="1" t="s">
        <v>7</v>
      </c>
      <c r="B84" s="101" t="s">
        <v>191</v>
      </c>
      <c r="C84" s="80"/>
      <c r="D84" s="6">
        <f>(D83*C60)</f>
        <v>0.53920000000000001</v>
      </c>
    </row>
    <row r="85" spans="1:4" ht="12.75" customHeight="1" x14ac:dyDescent="0.2">
      <c r="A85" s="1" t="s">
        <v>10</v>
      </c>
      <c r="B85" s="16" t="s">
        <v>192</v>
      </c>
      <c r="C85" s="10" t="s">
        <v>51</v>
      </c>
      <c r="D85" s="5">
        <f>ROUND(0.08*0.4*($D$39+$D$45+$D$46+$D$96)*0.05,2)</f>
        <v>2.62</v>
      </c>
    </row>
    <row r="86" spans="1:4" ht="26.25" customHeight="1" x14ac:dyDescent="0.2">
      <c r="A86" s="1" t="s">
        <v>13</v>
      </c>
      <c r="B86" s="101" t="s">
        <v>193</v>
      </c>
      <c r="C86" s="80"/>
      <c r="D86" s="6">
        <f>D39*0.0194</f>
        <v>26.272449999999999</v>
      </c>
    </row>
    <row r="87" spans="1:4" ht="30.75" customHeight="1" x14ac:dyDescent="0.2">
      <c r="A87" s="1" t="s">
        <v>34</v>
      </c>
      <c r="B87" s="101" t="s">
        <v>194</v>
      </c>
      <c r="C87" s="80"/>
      <c r="D87" s="6">
        <f>D86*C61</f>
        <v>10.456435100000002</v>
      </c>
    </row>
    <row r="88" spans="1:4" ht="30.75" customHeight="1" x14ac:dyDescent="0.2">
      <c r="A88" s="1" t="s">
        <v>36</v>
      </c>
      <c r="B88" s="16" t="s">
        <v>195</v>
      </c>
      <c r="C88" s="10" t="s">
        <v>51</v>
      </c>
      <c r="D88" s="6">
        <f>ROUND(0.08*0.4*($D$39+$D$45+$D$46+$D$96)*1,2)</f>
        <v>52.46</v>
      </c>
    </row>
    <row r="89" spans="1:4" ht="12.75" customHeight="1" x14ac:dyDescent="0.2">
      <c r="A89" s="98" t="s">
        <v>93</v>
      </c>
      <c r="B89" s="79"/>
      <c r="C89" s="80"/>
      <c r="D89" s="8">
        <f>SUM(D83+D84+D85+D86+D87+D88)</f>
        <v>99.088085100000001</v>
      </c>
    </row>
    <row r="90" spans="1:4" ht="12.75" customHeight="1" x14ac:dyDescent="0.2">
      <c r="A90" s="105"/>
      <c r="B90" s="79"/>
      <c r="C90" s="79"/>
      <c r="D90" s="80"/>
    </row>
    <row r="91" spans="1:4" ht="16.5" customHeight="1" x14ac:dyDescent="0.2">
      <c r="A91" s="102" t="s">
        <v>94</v>
      </c>
      <c r="B91" s="79"/>
      <c r="C91" s="79"/>
      <c r="D91" s="80"/>
    </row>
    <row r="92" spans="1:4" ht="39.75" customHeight="1" x14ac:dyDescent="0.2">
      <c r="A92" s="114" t="s">
        <v>95</v>
      </c>
      <c r="B92" s="79"/>
      <c r="C92" s="79"/>
      <c r="D92" s="80"/>
    </row>
    <row r="93" spans="1:4" ht="47.25" customHeight="1" x14ac:dyDescent="0.2">
      <c r="A93" s="115" t="s">
        <v>96</v>
      </c>
      <c r="B93" s="79"/>
      <c r="C93" s="80"/>
      <c r="D93" s="17">
        <f>ROUND(D39/12,2)+D39+D45+D46</f>
        <v>1617.5571749999999</v>
      </c>
    </row>
    <row r="94" spans="1:4" ht="12.75" customHeight="1" x14ac:dyDescent="0.2">
      <c r="A94" s="100" t="s">
        <v>97</v>
      </c>
      <c r="B94" s="79"/>
      <c r="C94" s="79"/>
      <c r="D94" s="80"/>
    </row>
    <row r="95" spans="1:4" ht="12.75" customHeight="1" x14ac:dyDescent="0.2">
      <c r="A95" s="4" t="s">
        <v>98</v>
      </c>
      <c r="B95" s="98" t="s">
        <v>99</v>
      </c>
      <c r="C95" s="80"/>
      <c r="D95" s="4" t="s">
        <v>29</v>
      </c>
    </row>
    <row r="96" spans="1:4" ht="12.75" customHeight="1" x14ac:dyDescent="0.2">
      <c r="A96" s="1" t="s">
        <v>5</v>
      </c>
      <c r="B96" s="101" t="s">
        <v>196</v>
      </c>
      <c r="C96" s="80"/>
      <c r="D96" s="6">
        <f>D93*0.0833</f>
        <v>134.7425126775</v>
      </c>
    </row>
    <row r="97" spans="1:4" ht="16.5" customHeight="1" x14ac:dyDescent="0.2">
      <c r="A97" s="1" t="s">
        <v>7</v>
      </c>
      <c r="B97" s="101" t="s">
        <v>197</v>
      </c>
      <c r="C97" s="80"/>
      <c r="D97" s="6">
        <f>($D$93/30/12)*1</f>
        <v>4.493214375</v>
      </c>
    </row>
    <row r="98" spans="1:4" ht="16.5" customHeight="1" x14ac:dyDescent="0.2">
      <c r="A98" s="1" t="s">
        <v>10</v>
      </c>
      <c r="B98" s="101" t="s">
        <v>198</v>
      </c>
      <c r="C98" s="80"/>
      <c r="D98" s="6">
        <f>(($D$93/30/12)*5)*0.015</f>
        <v>0.33699107812500001</v>
      </c>
    </row>
    <row r="99" spans="1:4" ht="16.5" customHeight="1" x14ac:dyDescent="0.2">
      <c r="A99" s="1" t="s">
        <v>13</v>
      </c>
      <c r="B99" s="101" t="s">
        <v>199</v>
      </c>
      <c r="C99" s="80"/>
      <c r="D99" s="6">
        <f>(($D$93/30/12)*30)*0.08</f>
        <v>10.7837145</v>
      </c>
    </row>
    <row r="100" spans="1:4" ht="16.5" customHeight="1" x14ac:dyDescent="0.2">
      <c r="A100" s="1" t="s">
        <v>34</v>
      </c>
      <c r="B100" s="101" t="s">
        <v>200</v>
      </c>
      <c r="C100" s="80"/>
      <c r="D100" s="6">
        <f>(($D$93/30/12)*5)*0.4</f>
        <v>8.98642875</v>
      </c>
    </row>
    <row r="101" spans="1:4" ht="24.75" customHeight="1" x14ac:dyDescent="0.2">
      <c r="A101" s="1" t="s">
        <v>36</v>
      </c>
      <c r="B101" s="101" t="s">
        <v>201</v>
      </c>
      <c r="C101" s="80"/>
      <c r="D101" s="5">
        <f>(D96+D97+D98+D99+D100)*C61</f>
        <v>63.418458829488763</v>
      </c>
    </row>
    <row r="102" spans="1:4" ht="41.25" customHeight="1" x14ac:dyDescent="0.2">
      <c r="A102" s="1" t="s">
        <v>38</v>
      </c>
      <c r="B102" s="16" t="s">
        <v>202</v>
      </c>
      <c r="C102" s="10" t="s">
        <v>51</v>
      </c>
      <c r="D102" s="6">
        <f>(((D39+(D39/3))*(4/12))/12)*0.02</f>
        <v>1.0031481481481483</v>
      </c>
    </row>
    <row r="103" spans="1:4" ht="46.5" customHeight="1" x14ac:dyDescent="0.2">
      <c r="A103" s="1" t="s">
        <v>40</v>
      </c>
      <c r="B103" s="16" t="s">
        <v>203</v>
      </c>
      <c r="C103" s="10" t="s">
        <v>51</v>
      </c>
      <c r="D103" s="6">
        <f>D102*C61</f>
        <v>0.39925296296296314</v>
      </c>
    </row>
    <row r="104" spans="1:4" ht="39" customHeight="1" x14ac:dyDescent="0.2">
      <c r="A104" s="1" t="s">
        <v>42</v>
      </c>
      <c r="B104" s="16" t="s">
        <v>204</v>
      </c>
      <c r="C104" s="10" t="s">
        <v>51</v>
      </c>
      <c r="D104" s="6">
        <f>(((D39+(D39/12))*(4/12))*0.02)*C61</f>
        <v>3.8927163888888896</v>
      </c>
    </row>
    <row r="105" spans="1:4" ht="12.75" customHeight="1" x14ac:dyDescent="0.2">
      <c r="A105" s="98" t="s">
        <v>109</v>
      </c>
      <c r="B105" s="79"/>
      <c r="C105" s="80"/>
      <c r="D105" s="8">
        <f>SUM(D96:D104)</f>
        <v>228.05643771011378</v>
      </c>
    </row>
    <row r="106" spans="1:4" ht="12.75" customHeight="1" x14ac:dyDescent="0.2">
      <c r="A106" s="105"/>
      <c r="B106" s="79"/>
      <c r="C106" s="79"/>
      <c r="D106" s="80"/>
    </row>
    <row r="107" spans="1:4" ht="16.5" customHeight="1" x14ac:dyDescent="0.2">
      <c r="A107" s="103" t="s">
        <v>110</v>
      </c>
      <c r="B107" s="79"/>
      <c r="C107" s="79"/>
      <c r="D107" s="80"/>
    </row>
    <row r="108" spans="1:4" ht="12.75" customHeight="1" x14ac:dyDescent="0.2">
      <c r="A108" s="4" t="s">
        <v>111</v>
      </c>
      <c r="B108" s="98" t="s">
        <v>112</v>
      </c>
      <c r="C108" s="80"/>
      <c r="D108" s="4" t="s">
        <v>29</v>
      </c>
    </row>
    <row r="109" spans="1:4" ht="12.75" customHeight="1" x14ac:dyDescent="0.2">
      <c r="A109" s="1" t="s">
        <v>5</v>
      </c>
      <c r="B109" s="101" t="s">
        <v>113</v>
      </c>
      <c r="C109" s="80"/>
      <c r="D109" s="6">
        <v>0</v>
      </c>
    </row>
    <row r="110" spans="1:4" ht="12.75" customHeight="1" x14ac:dyDescent="0.2">
      <c r="A110" s="98" t="s">
        <v>114</v>
      </c>
      <c r="B110" s="79"/>
      <c r="C110" s="80"/>
      <c r="D110" s="8">
        <f>SUM(D109)</f>
        <v>0</v>
      </c>
    </row>
    <row r="111" spans="1:4" ht="12.75" customHeight="1" x14ac:dyDescent="0.2">
      <c r="A111" s="105"/>
      <c r="B111" s="79"/>
      <c r="C111" s="79"/>
      <c r="D111" s="80"/>
    </row>
    <row r="112" spans="1:4" ht="15.75" customHeight="1" x14ac:dyDescent="0.2">
      <c r="A112" s="103" t="s">
        <v>115</v>
      </c>
      <c r="B112" s="79"/>
      <c r="C112" s="79"/>
      <c r="D112" s="80"/>
    </row>
    <row r="113" spans="1:4" ht="12.75" customHeight="1" x14ac:dyDescent="0.2">
      <c r="A113" s="4">
        <v>4</v>
      </c>
      <c r="B113" s="98" t="s">
        <v>83</v>
      </c>
      <c r="C113" s="80"/>
      <c r="D113" s="4" t="s">
        <v>29</v>
      </c>
    </row>
    <row r="114" spans="1:4" ht="12.75" customHeight="1" x14ac:dyDescent="0.2">
      <c r="A114" s="1" t="s">
        <v>98</v>
      </c>
      <c r="B114" s="101" t="s">
        <v>116</v>
      </c>
      <c r="C114" s="80"/>
      <c r="D114" s="6">
        <f>D105</f>
        <v>228.05643771011378</v>
      </c>
    </row>
    <row r="115" spans="1:4" ht="16.5" customHeight="1" x14ac:dyDescent="0.2">
      <c r="A115" s="1" t="s">
        <v>111</v>
      </c>
      <c r="B115" s="101" t="s">
        <v>112</v>
      </c>
      <c r="C115" s="80"/>
      <c r="D115" s="6">
        <f>D110</f>
        <v>0</v>
      </c>
    </row>
    <row r="116" spans="1:4" ht="16.5" customHeight="1" x14ac:dyDescent="0.2">
      <c r="A116" s="98" t="s">
        <v>84</v>
      </c>
      <c r="B116" s="79"/>
      <c r="C116" s="80"/>
      <c r="D116" s="8">
        <f>D114+D115</f>
        <v>228.05643771011378</v>
      </c>
    </row>
    <row r="117" spans="1:4" ht="12.75" customHeight="1" x14ac:dyDescent="0.2">
      <c r="A117" s="105"/>
      <c r="B117" s="79"/>
      <c r="C117" s="79"/>
      <c r="D117" s="80"/>
    </row>
    <row r="118" spans="1:4" ht="16.5" customHeight="1" x14ac:dyDescent="0.2">
      <c r="A118" s="102" t="s">
        <v>117</v>
      </c>
      <c r="B118" s="79"/>
      <c r="C118" s="79"/>
      <c r="D118" s="80"/>
    </row>
    <row r="119" spans="1:4" ht="12.75" customHeight="1" x14ac:dyDescent="0.2">
      <c r="A119" s="4">
        <v>5</v>
      </c>
      <c r="B119" s="98" t="s">
        <v>118</v>
      </c>
      <c r="C119" s="80"/>
      <c r="D119" s="4" t="s">
        <v>29</v>
      </c>
    </row>
    <row r="120" spans="1:4" ht="12.75" x14ac:dyDescent="0.2">
      <c r="A120" s="1" t="s">
        <v>5</v>
      </c>
      <c r="B120" s="106" t="s">
        <v>205</v>
      </c>
      <c r="C120" s="80"/>
      <c r="D120" s="6">
        <f>'EPI E UNIFORMES'!$F$12</f>
        <v>32.770000000000003</v>
      </c>
    </row>
    <row r="121" spans="1:4" ht="38.25" customHeight="1" x14ac:dyDescent="0.2">
      <c r="A121" s="1" t="s">
        <v>7</v>
      </c>
      <c r="B121" s="106" t="s">
        <v>206</v>
      </c>
      <c r="C121" s="80"/>
      <c r="D121" s="6">
        <f>'EPI E UNIFORMES'!$F$22</f>
        <v>34.880000000000003</v>
      </c>
    </row>
    <row r="122" spans="1:4" ht="38.25" customHeight="1" x14ac:dyDescent="0.2">
      <c r="A122" s="1" t="s">
        <v>10</v>
      </c>
      <c r="B122" s="106" t="s">
        <v>207</v>
      </c>
      <c r="C122" s="80"/>
      <c r="D122" s="6">
        <f>INSUMOS!$H$82</f>
        <v>739.04</v>
      </c>
    </row>
    <row r="123" spans="1:4" ht="40.5" customHeight="1" x14ac:dyDescent="0.2">
      <c r="A123" s="1" t="s">
        <v>13</v>
      </c>
      <c r="B123" s="106" t="s">
        <v>208</v>
      </c>
      <c r="C123" s="80"/>
      <c r="D123" s="6">
        <f>EQUIPAMENTOS!$J$26</f>
        <v>48.34</v>
      </c>
    </row>
    <row r="124" spans="1:4" ht="16.5" customHeight="1" x14ac:dyDescent="0.2">
      <c r="A124" s="1" t="s">
        <v>34</v>
      </c>
      <c r="B124" s="106" t="s">
        <v>123</v>
      </c>
      <c r="C124" s="80"/>
      <c r="D124" s="5">
        <v>0</v>
      </c>
    </row>
    <row r="125" spans="1:4" ht="16.5" customHeight="1" x14ac:dyDescent="0.2">
      <c r="A125" s="98" t="s">
        <v>124</v>
      </c>
      <c r="B125" s="79"/>
      <c r="C125" s="80"/>
      <c r="D125" s="8">
        <f>SUM(D120:D124)</f>
        <v>855.03</v>
      </c>
    </row>
    <row r="126" spans="1:4" ht="12.75" customHeight="1" x14ac:dyDescent="0.2">
      <c r="A126" s="105"/>
      <c r="B126" s="79"/>
      <c r="C126" s="79"/>
      <c r="D126" s="80"/>
    </row>
    <row r="127" spans="1:4" ht="16.5" customHeight="1" x14ac:dyDescent="0.2">
      <c r="A127" s="102" t="s">
        <v>125</v>
      </c>
      <c r="B127" s="79"/>
      <c r="C127" s="79"/>
      <c r="D127" s="80"/>
    </row>
    <row r="128" spans="1:4" ht="12.75" customHeight="1" x14ac:dyDescent="0.2">
      <c r="A128" s="4">
        <v>6</v>
      </c>
      <c r="B128" s="12" t="s">
        <v>126</v>
      </c>
      <c r="C128" s="4" t="s">
        <v>127</v>
      </c>
      <c r="D128" s="10" t="s">
        <v>29</v>
      </c>
    </row>
    <row r="129" spans="1:4" ht="12.75" customHeight="1" x14ac:dyDescent="0.2">
      <c r="A129" s="1" t="s">
        <v>5</v>
      </c>
      <c r="B129" s="9" t="s">
        <v>128</v>
      </c>
      <c r="C129" s="18">
        <f>BDI!H5</f>
        <v>3.6740000000000002E-2</v>
      </c>
      <c r="D129" s="6">
        <f>D150*C129</f>
        <v>142.68828992612458</v>
      </c>
    </row>
    <row r="130" spans="1:4" ht="44.25" customHeight="1" x14ac:dyDescent="0.2">
      <c r="A130" s="101" t="s">
        <v>129</v>
      </c>
      <c r="B130" s="79"/>
      <c r="C130" s="79"/>
      <c r="D130" s="80"/>
    </row>
    <row r="131" spans="1:4" ht="12.75" customHeight="1" x14ac:dyDescent="0.2">
      <c r="A131" s="1" t="s">
        <v>7</v>
      </c>
      <c r="B131" s="9" t="s">
        <v>130</v>
      </c>
      <c r="C131" s="18">
        <f>BDI!H6</f>
        <v>3.0520000000000002E-2</v>
      </c>
      <c r="D131" s="6">
        <f>(D150+D129)*C131</f>
        <v>122.88632751614799</v>
      </c>
    </row>
    <row r="132" spans="1:4" ht="42.75" customHeight="1" x14ac:dyDescent="0.2">
      <c r="A132" s="101" t="s">
        <v>131</v>
      </c>
      <c r="B132" s="79"/>
      <c r="C132" s="79"/>
      <c r="D132" s="80"/>
    </row>
    <row r="133" spans="1:4" ht="12.75" customHeight="1" x14ac:dyDescent="0.2">
      <c r="A133" s="1" t="s">
        <v>10</v>
      </c>
      <c r="B133" s="9" t="s">
        <v>132</v>
      </c>
      <c r="C133" s="13"/>
      <c r="D133" s="1"/>
    </row>
    <row r="134" spans="1:4" ht="41.25" customHeight="1" x14ac:dyDescent="0.2">
      <c r="A134" s="101" t="s">
        <v>133</v>
      </c>
      <c r="B134" s="79"/>
      <c r="C134" s="79"/>
      <c r="D134" s="80"/>
    </row>
    <row r="135" spans="1:4" ht="12.75" customHeight="1" x14ac:dyDescent="0.2">
      <c r="A135" s="110"/>
      <c r="B135" s="9" t="s">
        <v>134</v>
      </c>
      <c r="C135" s="13"/>
      <c r="D135" s="1"/>
    </row>
    <row r="136" spans="1:4" ht="12.75" customHeight="1" x14ac:dyDescent="0.2">
      <c r="A136" s="111"/>
      <c r="B136" s="9" t="s">
        <v>135</v>
      </c>
      <c r="C136" s="13">
        <v>1.6500000000000001E-2</v>
      </c>
      <c r="D136" s="6">
        <f t="shared" ref="D136:D137" si="2">($D$129+$D$131+$D$150)/(1-($C$136+$C$137+$C$139))*C136</f>
        <v>79.840872909491992</v>
      </c>
    </row>
    <row r="137" spans="1:4" ht="12.75" customHeight="1" x14ac:dyDescent="0.2">
      <c r="A137" s="111"/>
      <c r="B137" s="9" t="s">
        <v>136</v>
      </c>
      <c r="C137" s="13">
        <v>7.5999999999999998E-2</v>
      </c>
      <c r="D137" s="6">
        <f t="shared" si="2"/>
        <v>367.7518994619025</v>
      </c>
    </row>
    <row r="138" spans="1:4" ht="12.75" customHeight="1" x14ac:dyDescent="0.2">
      <c r="A138" s="111"/>
      <c r="B138" s="9" t="s">
        <v>137</v>
      </c>
      <c r="C138" s="13"/>
      <c r="D138" s="1"/>
    </row>
    <row r="139" spans="1:4" ht="12.75" customHeight="1" x14ac:dyDescent="0.2">
      <c r="A139" s="111"/>
      <c r="B139" s="9" t="s">
        <v>138</v>
      </c>
      <c r="C139" s="107">
        <v>0.05</v>
      </c>
      <c r="D139" s="109">
        <f>($D$129+$D$131+$D$150)/(1-($C$136+$C$137+$C$139))*C139</f>
        <v>241.9420391196727</v>
      </c>
    </row>
    <row r="140" spans="1:4" ht="12.75" customHeight="1" x14ac:dyDescent="0.2">
      <c r="A140" s="108"/>
      <c r="B140" s="9" t="s">
        <v>139</v>
      </c>
      <c r="C140" s="108"/>
      <c r="D140" s="108"/>
    </row>
    <row r="141" spans="1:4" ht="12.75" customHeight="1" x14ac:dyDescent="0.2">
      <c r="A141" s="98" t="s">
        <v>140</v>
      </c>
      <c r="B141" s="79"/>
      <c r="C141" s="80"/>
      <c r="D141" s="19">
        <f>SUM(D129:D139)</f>
        <v>955.10942893333981</v>
      </c>
    </row>
    <row r="142" spans="1:4" ht="26.25" customHeight="1" x14ac:dyDescent="0.2">
      <c r="A142" s="113" t="s">
        <v>141</v>
      </c>
      <c r="B142" s="79"/>
      <c r="C142" s="79"/>
      <c r="D142" s="80"/>
    </row>
    <row r="143" spans="1:4" ht="12.75" customHeight="1" x14ac:dyDescent="0.2">
      <c r="A143" s="100" t="s">
        <v>142</v>
      </c>
      <c r="B143" s="79"/>
      <c r="C143" s="79"/>
      <c r="D143" s="80"/>
    </row>
    <row r="144" spans="1:4" ht="12.75" customHeight="1" x14ac:dyDescent="0.2">
      <c r="A144" s="20"/>
      <c r="B144" s="98" t="s">
        <v>143</v>
      </c>
      <c r="C144" s="80"/>
      <c r="D144" s="7" t="s">
        <v>144</v>
      </c>
    </row>
    <row r="145" spans="1:4" ht="12.75" customHeight="1" x14ac:dyDescent="0.2">
      <c r="A145" s="1" t="s">
        <v>5</v>
      </c>
      <c r="B145" s="101" t="s">
        <v>145</v>
      </c>
      <c r="C145" s="80"/>
      <c r="D145" s="6">
        <f>D39</f>
        <v>1354.25</v>
      </c>
    </row>
    <row r="146" spans="1:4" ht="12.75" customHeight="1" x14ac:dyDescent="0.2">
      <c r="A146" s="1" t="s">
        <v>7</v>
      </c>
      <c r="B146" s="101" t="s">
        <v>146</v>
      </c>
      <c r="C146" s="80"/>
      <c r="D146" s="6">
        <f>D79</f>
        <v>1347.3068306499999</v>
      </c>
    </row>
    <row r="147" spans="1:4" ht="26.25" customHeight="1" x14ac:dyDescent="0.2">
      <c r="A147" s="1" t="s">
        <v>10</v>
      </c>
      <c r="B147" s="101" t="s">
        <v>147</v>
      </c>
      <c r="C147" s="80"/>
      <c r="D147" s="6">
        <f>D89</f>
        <v>99.088085100000001</v>
      </c>
    </row>
    <row r="148" spans="1:4" ht="16.5" customHeight="1" x14ac:dyDescent="0.2">
      <c r="A148" s="1" t="s">
        <v>13</v>
      </c>
      <c r="B148" s="101" t="s">
        <v>148</v>
      </c>
      <c r="C148" s="80"/>
      <c r="D148" s="6">
        <f>D116</f>
        <v>228.05643771011378</v>
      </c>
    </row>
    <row r="149" spans="1:4" ht="16.5" customHeight="1" x14ac:dyDescent="0.2">
      <c r="A149" s="1" t="s">
        <v>34</v>
      </c>
      <c r="B149" s="101" t="s">
        <v>149</v>
      </c>
      <c r="C149" s="80"/>
      <c r="D149" s="6">
        <f>D125</f>
        <v>855.03</v>
      </c>
    </row>
    <row r="150" spans="1:4" ht="16.5" customHeight="1" x14ac:dyDescent="0.2">
      <c r="A150" s="104" t="s">
        <v>150</v>
      </c>
      <c r="B150" s="79"/>
      <c r="C150" s="80"/>
      <c r="D150" s="11">
        <f>SUM(D145:D149)</f>
        <v>3883.7313534601135</v>
      </c>
    </row>
    <row r="151" spans="1:4" ht="16.5" customHeight="1" x14ac:dyDescent="0.2">
      <c r="A151" s="1" t="s">
        <v>36</v>
      </c>
      <c r="B151" s="101" t="s">
        <v>151</v>
      </c>
      <c r="C151" s="80"/>
      <c r="D151" s="6">
        <f>D141</f>
        <v>955.10942893333981</v>
      </c>
    </row>
    <row r="152" spans="1:4" ht="16.5" customHeight="1" x14ac:dyDescent="0.2">
      <c r="A152" s="1" t="s">
        <v>38</v>
      </c>
      <c r="B152" s="101" t="s">
        <v>152</v>
      </c>
      <c r="C152" s="80"/>
      <c r="D152" s="6">
        <v>0</v>
      </c>
    </row>
    <row r="153" spans="1:4" ht="16.5" customHeight="1" x14ac:dyDescent="0.2">
      <c r="A153" s="112" t="s">
        <v>153</v>
      </c>
      <c r="B153" s="79"/>
      <c r="C153" s="80"/>
      <c r="D153" s="21">
        <f>SUM(D151+D150+D152)</f>
        <v>4838.8407823934531</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8:D8"/>
    <mergeCell ref="A4:D4"/>
    <mergeCell ref="A5:D5"/>
    <mergeCell ref="A6:D7"/>
    <mergeCell ref="A9:D9"/>
    <mergeCell ref="B10:C10"/>
  </mergeCells>
  <pageMargins left="0.25" right="0.25" top="0.75" bottom="0.75" header="0" footer="0"/>
  <pageSetup paperSize="9" fitToHeight="0"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topLeftCell="A40" workbookViewId="0">
      <selection sqref="A1:D1"/>
    </sheetView>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78" t="s">
        <v>0</v>
      </c>
      <c r="B1" s="79"/>
      <c r="C1" s="79"/>
      <c r="D1" s="80"/>
    </row>
    <row r="2" spans="1:4" ht="31.5" customHeight="1" x14ac:dyDescent="0.2">
      <c r="A2" s="112" t="s">
        <v>209</v>
      </c>
      <c r="B2" s="79"/>
      <c r="C2" s="79"/>
      <c r="D2" s="80"/>
    </row>
    <row r="3" spans="1:4" ht="12.75" customHeight="1" x14ac:dyDescent="0.2">
      <c r="A3" s="82"/>
      <c r="B3" s="83"/>
      <c r="C3" s="83"/>
      <c r="D3" s="84"/>
    </row>
    <row r="4" spans="1:4" ht="12.75" customHeight="1" x14ac:dyDescent="0.2">
      <c r="A4" s="85" t="s">
        <v>2</v>
      </c>
      <c r="B4" s="86"/>
      <c r="C4" s="86"/>
      <c r="D4" s="87"/>
    </row>
    <row r="5" spans="1:4" ht="12.75" customHeight="1" x14ac:dyDescent="0.2">
      <c r="A5" s="85" t="s">
        <v>3</v>
      </c>
      <c r="B5" s="86"/>
      <c r="C5" s="86"/>
      <c r="D5" s="87"/>
    </row>
    <row r="6" spans="1:4" ht="12.75" customHeight="1" x14ac:dyDescent="0.2">
      <c r="A6" s="88"/>
      <c r="B6" s="86"/>
      <c r="C6" s="86"/>
      <c r="D6" s="87"/>
    </row>
    <row r="7" spans="1:4" ht="12.75" customHeight="1" x14ac:dyDescent="0.2">
      <c r="A7" s="89"/>
      <c r="B7" s="86"/>
      <c r="C7" s="86"/>
      <c r="D7" s="87"/>
    </row>
    <row r="8" spans="1:4" ht="12.75" customHeight="1" x14ac:dyDescent="0.2">
      <c r="A8" s="90"/>
      <c r="B8" s="91"/>
      <c r="C8" s="91"/>
      <c r="D8" s="92"/>
    </row>
    <row r="9" spans="1:4" ht="13.5" customHeight="1" x14ac:dyDescent="0.2">
      <c r="A9" s="93" t="s">
        <v>4</v>
      </c>
      <c r="B9" s="94"/>
      <c r="C9" s="94"/>
      <c r="D9" s="95"/>
    </row>
    <row r="10" spans="1:4" ht="12.75" customHeight="1" x14ac:dyDescent="0.2">
      <c r="A10" s="1" t="s">
        <v>5</v>
      </c>
      <c r="B10" s="96" t="s">
        <v>6</v>
      </c>
      <c r="C10" s="80"/>
      <c r="D10" s="1"/>
    </row>
    <row r="11" spans="1:4" ht="12.75" customHeight="1" x14ac:dyDescent="0.2">
      <c r="A11" s="1" t="s">
        <v>7</v>
      </c>
      <c r="B11" s="96" t="s">
        <v>8</v>
      </c>
      <c r="C11" s="80"/>
      <c r="D11" s="1" t="s">
        <v>9</v>
      </c>
    </row>
    <row r="12" spans="1:4" ht="12.75" customHeight="1" x14ac:dyDescent="0.2">
      <c r="A12" s="1" t="s">
        <v>10</v>
      </c>
      <c r="B12" s="96" t="s">
        <v>11</v>
      </c>
      <c r="C12" s="80"/>
      <c r="D12" s="1" t="s">
        <v>12</v>
      </c>
    </row>
    <row r="13" spans="1:4" ht="12.75" customHeight="1" x14ac:dyDescent="0.2">
      <c r="A13" s="1" t="s">
        <v>13</v>
      </c>
      <c r="B13" s="96" t="s">
        <v>14</v>
      </c>
      <c r="C13" s="80"/>
      <c r="D13" s="1">
        <v>12</v>
      </c>
    </row>
    <row r="14" spans="1:4" ht="12.75" customHeight="1" x14ac:dyDescent="0.2">
      <c r="A14" s="97"/>
      <c r="B14" s="79"/>
      <c r="C14" s="79"/>
      <c r="D14" s="80"/>
    </row>
    <row r="15" spans="1:4" ht="12.75" customHeight="1" x14ac:dyDescent="0.2">
      <c r="A15" s="93" t="s">
        <v>15</v>
      </c>
      <c r="B15" s="94"/>
      <c r="C15" s="94"/>
      <c r="D15" s="95"/>
    </row>
    <row r="16" spans="1:4" ht="12.75" customHeight="1" x14ac:dyDescent="0.2">
      <c r="A16" s="98" t="s">
        <v>16</v>
      </c>
      <c r="B16" s="79"/>
      <c r="C16" s="79"/>
      <c r="D16" s="80"/>
    </row>
    <row r="17" spans="1:4" ht="12.75" customHeight="1" x14ac:dyDescent="0.2">
      <c r="A17" s="96" t="s">
        <v>17</v>
      </c>
      <c r="B17" s="79"/>
      <c r="C17" s="79"/>
      <c r="D17" s="80"/>
    </row>
    <row r="18" spans="1:4" ht="12.75" customHeight="1" x14ac:dyDescent="0.2">
      <c r="A18" s="97"/>
      <c r="B18" s="79"/>
      <c r="C18" s="79"/>
      <c r="D18" s="80"/>
    </row>
    <row r="19" spans="1:4" ht="20.25" customHeight="1" x14ac:dyDescent="0.2">
      <c r="A19" s="99" t="s">
        <v>18</v>
      </c>
      <c r="B19" s="79"/>
      <c r="C19" s="79"/>
      <c r="D19" s="80"/>
    </row>
    <row r="20" spans="1:4" ht="12.75" customHeight="1" x14ac:dyDescent="0.2">
      <c r="A20" s="100" t="s">
        <v>19</v>
      </c>
      <c r="B20" s="79"/>
      <c r="C20" s="79"/>
      <c r="D20" s="80"/>
    </row>
    <row r="21" spans="1:4" ht="15.75" customHeight="1" x14ac:dyDescent="0.2">
      <c r="A21" s="98" t="s">
        <v>20</v>
      </c>
      <c r="B21" s="79"/>
      <c r="C21" s="79"/>
      <c r="D21" s="80"/>
    </row>
    <row r="22" spans="1:4" ht="12.75" x14ac:dyDescent="0.2">
      <c r="A22" s="1">
        <v>1</v>
      </c>
      <c r="B22" s="101" t="s">
        <v>21</v>
      </c>
      <c r="C22" s="80"/>
      <c r="D22" s="1" t="str">
        <f>A17</f>
        <v>Limpeza e Conservação</v>
      </c>
    </row>
    <row r="23" spans="1:4" ht="12.75" customHeight="1" x14ac:dyDescent="0.2">
      <c r="A23" s="1">
        <v>2</v>
      </c>
      <c r="B23" s="101" t="s">
        <v>22</v>
      </c>
      <c r="C23" s="80"/>
      <c r="D23" s="1" t="s">
        <v>23</v>
      </c>
    </row>
    <row r="24" spans="1:4" ht="12.75" customHeight="1" x14ac:dyDescent="0.2">
      <c r="A24" s="1">
        <v>3</v>
      </c>
      <c r="B24" s="101" t="s">
        <v>24</v>
      </c>
      <c r="C24" s="80"/>
      <c r="D24" s="2">
        <v>1198.0899999999999</v>
      </c>
    </row>
    <row r="25" spans="1:4" ht="78.75" customHeight="1" x14ac:dyDescent="0.2">
      <c r="A25" s="1">
        <v>4</v>
      </c>
      <c r="B25" s="101" t="s">
        <v>25</v>
      </c>
      <c r="C25" s="80"/>
      <c r="D25" s="1" t="str">
        <f>A2</f>
        <v>SERVENTE DE LIMPEZA  (44 HORAS de segunda a sábado) com insalubridade 20%, para limpeza geral com prioridade para os banheiros com 21 à 40 usuários por dia</v>
      </c>
    </row>
    <row r="26" spans="1:4" ht="12.75" customHeight="1" x14ac:dyDescent="0.2">
      <c r="A26" s="1">
        <v>5</v>
      </c>
      <c r="B26" s="101" t="s">
        <v>26</v>
      </c>
      <c r="C26" s="80"/>
      <c r="D26" s="3">
        <v>44197</v>
      </c>
    </row>
    <row r="27" spans="1:4" ht="12.75" customHeight="1" x14ac:dyDescent="0.2">
      <c r="A27" s="97"/>
      <c r="B27" s="79"/>
      <c r="C27" s="79"/>
      <c r="D27" s="80"/>
    </row>
    <row r="28" spans="1:4" ht="12.75" customHeight="1" x14ac:dyDescent="0.2">
      <c r="A28" s="102" t="s">
        <v>27</v>
      </c>
      <c r="B28" s="79"/>
      <c r="C28" s="79"/>
      <c r="D28" s="80"/>
    </row>
    <row r="29" spans="1:4" ht="12.75" customHeight="1" x14ac:dyDescent="0.2">
      <c r="A29" s="4">
        <v>1</v>
      </c>
      <c r="B29" s="98" t="s">
        <v>28</v>
      </c>
      <c r="C29" s="80"/>
      <c r="D29" s="4" t="s">
        <v>29</v>
      </c>
    </row>
    <row r="30" spans="1:4" ht="12.75" customHeight="1" x14ac:dyDescent="0.2">
      <c r="A30" s="1" t="s">
        <v>5</v>
      </c>
      <c r="B30" s="101" t="s">
        <v>30</v>
      </c>
      <c r="C30" s="80"/>
      <c r="D30" s="5">
        <v>1198.0899999999999</v>
      </c>
    </row>
    <row r="31" spans="1:4" ht="12.75" customHeight="1" x14ac:dyDescent="0.2">
      <c r="A31" s="1" t="s">
        <v>7</v>
      </c>
      <c r="B31" s="101" t="s">
        <v>31</v>
      </c>
      <c r="C31" s="80"/>
      <c r="D31" s="6">
        <v>0</v>
      </c>
    </row>
    <row r="32" spans="1:4" ht="35.25" customHeight="1" x14ac:dyDescent="0.2">
      <c r="A32" s="1" t="s">
        <v>10</v>
      </c>
      <c r="B32" s="101" t="s">
        <v>210</v>
      </c>
      <c r="C32" s="80"/>
      <c r="D32" s="6">
        <f>1100*0.2</f>
        <v>220</v>
      </c>
    </row>
    <row r="33" spans="1:4" ht="36.75" customHeight="1" x14ac:dyDescent="0.2">
      <c r="A33" s="1" t="s">
        <v>13</v>
      </c>
      <c r="B33" s="101" t="s">
        <v>211</v>
      </c>
      <c r="C33" s="80"/>
      <c r="D33" s="6">
        <v>0</v>
      </c>
    </row>
    <row r="34" spans="1:4" ht="24.75" customHeight="1" x14ac:dyDescent="0.2">
      <c r="A34" s="1" t="s">
        <v>34</v>
      </c>
      <c r="B34" s="101" t="s">
        <v>212</v>
      </c>
      <c r="C34" s="80"/>
      <c r="D34" s="6">
        <v>0</v>
      </c>
    </row>
    <row r="35" spans="1:4" ht="32.25" customHeight="1" x14ac:dyDescent="0.2">
      <c r="A35" s="1" t="s">
        <v>36</v>
      </c>
      <c r="B35" s="101" t="s">
        <v>213</v>
      </c>
      <c r="C35" s="80"/>
      <c r="D35" s="6">
        <v>0</v>
      </c>
    </row>
    <row r="36" spans="1:4" ht="26.25" customHeight="1" x14ac:dyDescent="0.2">
      <c r="A36" s="1" t="s">
        <v>38</v>
      </c>
      <c r="B36" s="101" t="s">
        <v>214</v>
      </c>
      <c r="C36" s="80"/>
      <c r="D36" s="6">
        <v>0</v>
      </c>
    </row>
    <row r="37" spans="1:4" ht="12.75" customHeight="1" x14ac:dyDescent="0.2">
      <c r="A37" s="1" t="s">
        <v>40</v>
      </c>
      <c r="B37" s="101" t="s">
        <v>41</v>
      </c>
      <c r="C37" s="80"/>
      <c r="D37" s="5">
        <v>46.16</v>
      </c>
    </row>
    <row r="38" spans="1:4" ht="12.75" customHeight="1" x14ac:dyDescent="0.2">
      <c r="A38" s="1" t="s">
        <v>42</v>
      </c>
      <c r="B38" s="101" t="s">
        <v>43</v>
      </c>
      <c r="C38" s="80"/>
      <c r="D38" s="6">
        <v>0</v>
      </c>
    </row>
    <row r="39" spans="1:4" ht="12.75" customHeight="1" x14ac:dyDescent="0.2">
      <c r="A39" s="7"/>
      <c r="B39" s="98" t="s">
        <v>44</v>
      </c>
      <c r="C39" s="80"/>
      <c r="D39" s="8">
        <f>SUM(D30:D38)</f>
        <v>1464.25</v>
      </c>
    </row>
    <row r="40" spans="1:4" ht="12.75" customHeight="1" x14ac:dyDescent="0.2">
      <c r="A40" s="96" t="s">
        <v>45</v>
      </c>
      <c r="B40" s="79"/>
      <c r="C40" s="79"/>
      <c r="D40" s="80"/>
    </row>
    <row r="41" spans="1:4" ht="12.75" customHeight="1" x14ac:dyDescent="0.2">
      <c r="A41" s="97"/>
      <c r="B41" s="79"/>
      <c r="C41" s="79"/>
      <c r="D41" s="80"/>
    </row>
    <row r="42" spans="1:4" ht="12.75" customHeight="1" x14ac:dyDescent="0.2">
      <c r="A42" s="102" t="s">
        <v>46</v>
      </c>
      <c r="B42" s="79"/>
      <c r="C42" s="79"/>
      <c r="D42" s="80"/>
    </row>
    <row r="43" spans="1:4" ht="12.75" customHeight="1" x14ac:dyDescent="0.2">
      <c r="A43" s="103" t="s">
        <v>47</v>
      </c>
      <c r="B43" s="79"/>
      <c r="C43" s="79"/>
      <c r="D43" s="80"/>
    </row>
    <row r="44" spans="1:4" ht="12.75" customHeight="1" x14ac:dyDescent="0.2">
      <c r="A44" s="4" t="s">
        <v>48</v>
      </c>
      <c r="B44" s="98" t="s">
        <v>49</v>
      </c>
      <c r="C44" s="80"/>
      <c r="D44" s="4" t="s">
        <v>29</v>
      </c>
    </row>
    <row r="45" spans="1:4" ht="25.5" x14ac:dyDescent="0.2">
      <c r="A45" s="1" t="s">
        <v>5</v>
      </c>
      <c r="B45" s="9" t="s">
        <v>215</v>
      </c>
      <c r="C45" s="10" t="s">
        <v>51</v>
      </c>
      <c r="D45" s="6">
        <f>D39*0.0833</f>
        <v>121.972025</v>
      </c>
    </row>
    <row r="46" spans="1:4" ht="25.5" x14ac:dyDescent="0.2">
      <c r="A46" s="1" t="s">
        <v>7</v>
      </c>
      <c r="B46" s="9" t="s">
        <v>216</v>
      </c>
      <c r="C46" s="10" t="s">
        <v>51</v>
      </c>
      <c r="D46" s="6">
        <f>D39*0.0278</f>
        <v>40.706150000000001</v>
      </c>
    </row>
    <row r="47" spans="1:4" ht="12.75" x14ac:dyDescent="0.2">
      <c r="A47" s="104" t="s">
        <v>53</v>
      </c>
      <c r="B47" s="79"/>
      <c r="C47" s="80"/>
      <c r="D47" s="11">
        <f>SUM(D45:D46)</f>
        <v>162.67817500000001</v>
      </c>
    </row>
    <row r="48" spans="1:4" ht="25.5" x14ac:dyDescent="0.2">
      <c r="A48" s="1" t="s">
        <v>10</v>
      </c>
      <c r="B48" s="9" t="s">
        <v>217</v>
      </c>
      <c r="C48" s="10" t="s">
        <v>51</v>
      </c>
      <c r="D48" s="6">
        <f>(D45+D46)*C61</f>
        <v>64.74591365000002</v>
      </c>
    </row>
    <row r="49" spans="1:4" ht="12.75" customHeight="1" x14ac:dyDescent="0.2">
      <c r="A49" s="98" t="s">
        <v>55</v>
      </c>
      <c r="B49" s="79"/>
      <c r="C49" s="80"/>
      <c r="D49" s="8">
        <f>D47+D48</f>
        <v>227.42408865000004</v>
      </c>
    </row>
    <row r="50" spans="1:4" ht="55.5" customHeight="1" x14ac:dyDescent="0.2">
      <c r="A50" s="101" t="s">
        <v>56</v>
      </c>
      <c r="B50" s="79"/>
      <c r="C50" s="79"/>
      <c r="D50" s="80"/>
    </row>
    <row r="51" spans="1:4" ht="12.75" customHeight="1" x14ac:dyDescent="0.2">
      <c r="A51" s="100" t="s">
        <v>57</v>
      </c>
      <c r="B51" s="79"/>
      <c r="C51" s="79"/>
      <c r="D51" s="80"/>
    </row>
    <row r="52" spans="1:4" ht="12.75" customHeight="1" x14ac:dyDescent="0.2">
      <c r="A52" s="4" t="s">
        <v>58</v>
      </c>
      <c r="B52" s="12" t="s">
        <v>59</v>
      </c>
      <c r="C52" s="4" t="s">
        <v>60</v>
      </c>
      <c r="D52" s="4" t="s">
        <v>29</v>
      </c>
    </row>
    <row r="53" spans="1:4" ht="12.75" customHeight="1" x14ac:dyDescent="0.2">
      <c r="A53" s="1" t="s">
        <v>5</v>
      </c>
      <c r="B53" s="9" t="s">
        <v>61</v>
      </c>
      <c r="C53" s="13">
        <v>0.2</v>
      </c>
      <c r="D53" s="6">
        <f t="shared" ref="D53:D60" si="0">C53*$D$39</f>
        <v>292.85000000000002</v>
      </c>
    </row>
    <row r="54" spans="1:4" ht="12.75" customHeight="1" x14ac:dyDescent="0.2">
      <c r="A54" s="1" t="s">
        <v>7</v>
      </c>
      <c r="B54" s="9" t="s">
        <v>62</v>
      </c>
      <c r="C54" s="13">
        <v>2.5000000000000001E-2</v>
      </c>
      <c r="D54" s="6">
        <f t="shared" si="0"/>
        <v>36.606250000000003</v>
      </c>
    </row>
    <row r="55" spans="1:4" ht="12.75" customHeight="1" x14ac:dyDescent="0.2">
      <c r="A55" s="1" t="s">
        <v>10</v>
      </c>
      <c r="B55" s="9" t="s">
        <v>63</v>
      </c>
      <c r="C55" s="13">
        <v>0.06</v>
      </c>
      <c r="D55" s="6">
        <f t="shared" si="0"/>
        <v>87.85499999999999</v>
      </c>
    </row>
    <row r="56" spans="1:4" ht="12.75" customHeight="1" x14ac:dyDescent="0.2">
      <c r="A56" s="1" t="s">
        <v>13</v>
      </c>
      <c r="B56" s="9" t="s">
        <v>64</v>
      </c>
      <c r="C56" s="13">
        <v>1.4999999999999999E-2</v>
      </c>
      <c r="D56" s="6">
        <f t="shared" si="0"/>
        <v>21.963749999999997</v>
      </c>
    </row>
    <row r="57" spans="1:4" ht="12.75" customHeight="1" x14ac:dyDescent="0.2">
      <c r="A57" s="1" t="s">
        <v>34</v>
      </c>
      <c r="B57" s="9" t="s">
        <v>65</v>
      </c>
      <c r="C57" s="13">
        <v>0.01</v>
      </c>
      <c r="D57" s="6">
        <f t="shared" si="0"/>
        <v>14.6425</v>
      </c>
    </row>
    <row r="58" spans="1:4" ht="12.75" customHeight="1" x14ac:dyDescent="0.2">
      <c r="A58" s="1" t="s">
        <v>36</v>
      </c>
      <c r="B58" s="9" t="s">
        <v>66</v>
      </c>
      <c r="C58" s="13">
        <v>6.0000000000000001E-3</v>
      </c>
      <c r="D58" s="6">
        <f t="shared" si="0"/>
        <v>8.7855000000000008</v>
      </c>
    </row>
    <row r="59" spans="1:4" ht="12.75" customHeight="1" x14ac:dyDescent="0.2">
      <c r="A59" s="1" t="s">
        <v>38</v>
      </c>
      <c r="B59" s="9" t="s">
        <v>67</v>
      </c>
      <c r="C59" s="13">
        <v>2E-3</v>
      </c>
      <c r="D59" s="6">
        <f t="shared" si="0"/>
        <v>2.9285000000000001</v>
      </c>
    </row>
    <row r="60" spans="1:4" ht="12.75" customHeight="1" x14ac:dyDescent="0.2">
      <c r="A60" s="1" t="s">
        <v>40</v>
      </c>
      <c r="B60" s="9" t="s">
        <v>68</v>
      </c>
      <c r="C60" s="13">
        <v>0.08</v>
      </c>
      <c r="D60" s="6">
        <f t="shared" si="0"/>
        <v>117.14</v>
      </c>
    </row>
    <row r="61" spans="1:4" ht="12.75" customHeight="1" x14ac:dyDescent="0.2">
      <c r="A61" s="7"/>
      <c r="B61" s="12" t="s">
        <v>69</v>
      </c>
      <c r="C61" s="14">
        <f t="shared" ref="C61:D61" si="1">SUM(C53:C60)</f>
        <v>0.39800000000000008</v>
      </c>
      <c r="D61" s="8">
        <f t="shared" si="1"/>
        <v>582.77149999999995</v>
      </c>
    </row>
    <row r="62" spans="1:4" ht="12.75" customHeight="1" x14ac:dyDescent="0.2">
      <c r="A62" s="105"/>
      <c r="B62" s="79"/>
      <c r="C62" s="79"/>
      <c r="D62" s="80"/>
    </row>
    <row r="63" spans="1:4" ht="12.75" customHeight="1" x14ac:dyDescent="0.2">
      <c r="A63" s="103" t="s">
        <v>70</v>
      </c>
      <c r="B63" s="79"/>
      <c r="C63" s="79"/>
      <c r="D63" s="80"/>
    </row>
    <row r="64" spans="1:4" ht="12.75" customHeight="1" x14ac:dyDescent="0.2">
      <c r="A64" s="4" t="s">
        <v>71</v>
      </c>
      <c r="B64" s="98" t="s">
        <v>72</v>
      </c>
      <c r="C64" s="80"/>
      <c r="D64" s="4" t="s">
        <v>29</v>
      </c>
    </row>
    <row r="65" spans="1:4" ht="12.75" customHeight="1" x14ac:dyDescent="0.2">
      <c r="A65" s="1" t="s">
        <v>5</v>
      </c>
      <c r="B65" s="101" t="s">
        <v>73</v>
      </c>
      <c r="C65" s="80"/>
      <c r="D65" s="15">
        <f>(4.1*2*22)-0.06*D30</f>
        <v>108.51459999999999</v>
      </c>
    </row>
    <row r="66" spans="1:4" ht="16.5" customHeight="1" x14ac:dyDescent="0.2">
      <c r="A66" s="1" t="s">
        <v>7</v>
      </c>
      <c r="B66" s="101" t="s">
        <v>74</v>
      </c>
      <c r="C66" s="80"/>
      <c r="D66" s="5">
        <f>(16*21.083)-(16*21.083)*0.05</f>
        <v>320.46159999999998</v>
      </c>
    </row>
    <row r="67" spans="1:4" ht="24" customHeight="1" x14ac:dyDescent="0.2">
      <c r="A67" s="1" t="s">
        <v>10</v>
      </c>
      <c r="B67" s="101" t="s">
        <v>75</v>
      </c>
      <c r="C67" s="80"/>
      <c r="D67" s="5">
        <v>0</v>
      </c>
    </row>
    <row r="68" spans="1:4" ht="16.5" customHeight="1" x14ac:dyDescent="0.2">
      <c r="A68" s="1" t="s">
        <v>13</v>
      </c>
      <c r="B68" s="101" t="s">
        <v>76</v>
      </c>
      <c r="C68" s="80"/>
      <c r="D68" s="5">
        <v>0</v>
      </c>
    </row>
    <row r="69" spans="1:4" ht="27" customHeight="1" x14ac:dyDescent="0.2">
      <c r="A69" s="1" t="s">
        <v>34</v>
      </c>
      <c r="B69" s="101" t="s">
        <v>77</v>
      </c>
      <c r="C69" s="80"/>
      <c r="D69" s="5">
        <f>4.2+10.2+13+10.2+11.4</f>
        <v>48.999999999999993</v>
      </c>
    </row>
    <row r="70" spans="1:4" ht="27" customHeight="1" x14ac:dyDescent="0.2">
      <c r="A70" s="1" t="s">
        <v>36</v>
      </c>
      <c r="B70" s="101" t="s">
        <v>78</v>
      </c>
      <c r="C70" s="80"/>
      <c r="D70" s="5">
        <v>120</v>
      </c>
    </row>
    <row r="71" spans="1:4" ht="16.5" customHeight="1" x14ac:dyDescent="0.2">
      <c r="A71" s="1" t="s">
        <v>38</v>
      </c>
      <c r="B71" s="101" t="s">
        <v>79</v>
      </c>
      <c r="C71" s="80"/>
      <c r="D71" s="6">
        <v>0</v>
      </c>
    </row>
    <row r="72" spans="1:4" ht="16.5" customHeight="1" x14ac:dyDescent="0.2">
      <c r="A72" s="98" t="s">
        <v>80</v>
      </c>
      <c r="B72" s="79"/>
      <c r="C72" s="80"/>
      <c r="D72" s="8">
        <f>SUM(D65:D71)</f>
        <v>597.97619999999995</v>
      </c>
    </row>
    <row r="73" spans="1:4" ht="44.25" customHeight="1" x14ac:dyDescent="0.2">
      <c r="A73" s="101" t="s">
        <v>81</v>
      </c>
      <c r="B73" s="79"/>
      <c r="C73" s="79"/>
      <c r="D73" s="80"/>
    </row>
    <row r="74" spans="1:4" ht="16.5" customHeight="1" x14ac:dyDescent="0.2">
      <c r="A74" s="103" t="s">
        <v>82</v>
      </c>
      <c r="B74" s="79"/>
      <c r="C74" s="79"/>
      <c r="D74" s="80"/>
    </row>
    <row r="75" spans="1:4" ht="12.75" customHeight="1" x14ac:dyDescent="0.2">
      <c r="A75" s="4">
        <v>2</v>
      </c>
      <c r="B75" s="98" t="s">
        <v>83</v>
      </c>
      <c r="C75" s="80"/>
      <c r="D75" s="4" t="s">
        <v>29</v>
      </c>
    </row>
    <row r="76" spans="1:4" ht="12.75" customHeight="1" x14ac:dyDescent="0.2">
      <c r="A76" s="1" t="s">
        <v>48</v>
      </c>
      <c r="B76" s="101" t="s">
        <v>49</v>
      </c>
      <c r="C76" s="80"/>
      <c r="D76" s="6">
        <f>D49</f>
        <v>227.42408865000004</v>
      </c>
    </row>
    <row r="77" spans="1:4" ht="16.5" customHeight="1" x14ac:dyDescent="0.2">
      <c r="A77" s="1" t="s">
        <v>58</v>
      </c>
      <c r="B77" s="101" t="s">
        <v>59</v>
      </c>
      <c r="C77" s="80"/>
      <c r="D77" s="6">
        <f>D61</f>
        <v>582.77149999999995</v>
      </c>
    </row>
    <row r="78" spans="1:4" ht="16.5" customHeight="1" x14ac:dyDescent="0.2">
      <c r="A78" s="1" t="s">
        <v>71</v>
      </c>
      <c r="B78" s="101" t="s">
        <v>72</v>
      </c>
      <c r="C78" s="80"/>
      <c r="D78" s="6">
        <f>D72</f>
        <v>597.97619999999995</v>
      </c>
    </row>
    <row r="79" spans="1:4" ht="16.5" customHeight="1" x14ac:dyDescent="0.2">
      <c r="A79" s="98" t="s">
        <v>84</v>
      </c>
      <c r="B79" s="79"/>
      <c r="C79" s="80"/>
      <c r="D79" s="8">
        <f>SUM(D76:D78)</f>
        <v>1408.1717886500001</v>
      </c>
    </row>
    <row r="80" spans="1:4" ht="12.75" customHeight="1" x14ac:dyDescent="0.2">
      <c r="A80" s="105"/>
      <c r="B80" s="79"/>
      <c r="C80" s="79"/>
      <c r="D80" s="80"/>
    </row>
    <row r="81" spans="1:4" ht="16.5" customHeight="1" x14ac:dyDescent="0.2">
      <c r="A81" s="102" t="s">
        <v>85</v>
      </c>
      <c r="B81" s="79"/>
      <c r="C81" s="79"/>
      <c r="D81" s="80"/>
    </row>
    <row r="82" spans="1:4" ht="12.75" customHeight="1" x14ac:dyDescent="0.2">
      <c r="A82" s="4">
        <v>3</v>
      </c>
      <c r="B82" s="98" t="s">
        <v>86</v>
      </c>
      <c r="C82" s="80"/>
      <c r="D82" s="4" t="s">
        <v>29</v>
      </c>
    </row>
    <row r="83" spans="1:4" ht="66.75" customHeight="1" x14ac:dyDescent="0.2">
      <c r="A83" s="1" t="s">
        <v>5</v>
      </c>
      <c r="B83" s="101" t="s">
        <v>218</v>
      </c>
      <c r="C83" s="80"/>
      <c r="D83" s="6">
        <f>ROUND((($D$39/12)+($D$45/12)+($D$39/12/12)+($D$46/12))*(30/30)*0.05,2)</f>
        <v>7.29</v>
      </c>
    </row>
    <row r="84" spans="1:4" ht="26.25" customHeight="1" x14ac:dyDescent="0.2">
      <c r="A84" s="1" t="s">
        <v>7</v>
      </c>
      <c r="B84" s="101" t="s">
        <v>219</v>
      </c>
      <c r="C84" s="80"/>
      <c r="D84" s="6">
        <f>(D83*C60)</f>
        <v>0.58320000000000005</v>
      </c>
    </row>
    <row r="85" spans="1:4" ht="12.75" customHeight="1" x14ac:dyDescent="0.2">
      <c r="A85" s="1" t="s">
        <v>10</v>
      </c>
      <c r="B85" s="16" t="s">
        <v>220</v>
      </c>
      <c r="C85" s="10" t="s">
        <v>51</v>
      </c>
      <c r="D85" s="5">
        <f>ROUND(0.08*0.4*($D$39+$D$45+$D$46+$D$96)*0.05,2)</f>
        <v>2.84</v>
      </c>
    </row>
    <row r="86" spans="1:4" ht="26.25" customHeight="1" x14ac:dyDescent="0.2">
      <c r="A86" s="1" t="s">
        <v>13</v>
      </c>
      <c r="B86" s="101" t="s">
        <v>221</v>
      </c>
      <c r="C86" s="80"/>
      <c r="D86" s="6">
        <f>D39*0.0194</f>
        <v>28.40645</v>
      </c>
    </row>
    <row r="87" spans="1:4" ht="30.75" customHeight="1" x14ac:dyDescent="0.2">
      <c r="A87" s="1" t="s">
        <v>34</v>
      </c>
      <c r="B87" s="101" t="s">
        <v>222</v>
      </c>
      <c r="C87" s="80"/>
      <c r="D87" s="6">
        <f>D86*C61</f>
        <v>11.305767100000002</v>
      </c>
    </row>
    <row r="88" spans="1:4" ht="30.75" customHeight="1" x14ac:dyDescent="0.2">
      <c r="A88" s="1" t="s">
        <v>36</v>
      </c>
      <c r="B88" s="16" t="s">
        <v>223</v>
      </c>
      <c r="C88" s="10" t="s">
        <v>51</v>
      </c>
      <c r="D88" s="6">
        <f>ROUND(0.08*0.4*($D$39+$D$45+$D$46+$D$96)*1,2)</f>
        <v>56.72</v>
      </c>
    </row>
    <row r="89" spans="1:4" ht="12.75" customHeight="1" x14ac:dyDescent="0.2">
      <c r="A89" s="98" t="s">
        <v>93</v>
      </c>
      <c r="B89" s="79"/>
      <c r="C89" s="80"/>
      <c r="D89" s="8">
        <f>SUM(D83+D84+D85+D86+D87+D88)</f>
        <v>107.1454171</v>
      </c>
    </row>
    <row r="90" spans="1:4" ht="12.75" customHeight="1" x14ac:dyDescent="0.2">
      <c r="A90" s="105"/>
      <c r="B90" s="79"/>
      <c r="C90" s="79"/>
      <c r="D90" s="80"/>
    </row>
    <row r="91" spans="1:4" ht="16.5" customHeight="1" x14ac:dyDescent="0.2">
      <c r="A91" s="102" t="s">
        <v>94</v>
      </c>
      <c r="B91" s="79"/>
      <c r="C91" s="79"/>
      <c r="D91" s="80"/>
    </row>
    <row r="92" spans="1:4" ht="39.75" customHeight="1" x14ac:dyDescent="0.2">
      <c r="A92" s="114" t="s">
        <v>95</v>
      </c>
      <c r="B92" s="79"/>
      <c r="C92" s="79"/>
      <c r="D92" s="80"/>
    </row>
    <row r="93" spans="1:4" ht="47.25" customHeight="1" x14ac:dyDescent="0.2">
      <c r="A93" s="115" t="s">
        <v>96</v>
      </c>
      <c r="B93" s="79"/>
      <c r="C93" s="80"/>
      <c r="D93" s="17">
        <f>ROUND(D39/12,2)+D39+D45+D46</f>
        <v>1748.948175</v>
      </c>
    </row>
    <row r="94" spans="1:4" ht="12.75" customHeight="1" x14ac:dyDescent="0.2">
      <c r="A94" s="100" t="s">
        <v>97</v>
      </c>
      <c r="B94" s="79"/>
      <c r="C94" s="79"/>
      <c r="D94" s="80"/>
    </row>
    <row r="95" spans="1:4" ht="12.75" customHeight="1" x14ac:dyDescent="0.2">
      <c r="A95" s="4" t="s">
        <v>98</v>
      </c>
      <c r="B95" s="98" t="s">
        <v>99</v>
      </c>
      <c r="C95" s="80"/>
      <c r="D95" s="4" t="s">
        <v>29</v>
      </c>
    </row>
    <row r="96" spans="1:4" ht="12.75" customHeight="1" x14ac:dyDescent="0.2">
      <c r="A96" s="1" t="s">
        <v>5</v>
      </c>
      <c r="B96" s="101" t="s">
        <v>224</v>
      </c>
      <c r="C96" s="80"/>
      <c r="D96" s="6">
        <f>D93*0.0833</f>
        <v>145.68738297749999</v>
      </c>
    </row>
    <row r="97" spans="1:4" ht="16.5" customHeight="1" x14ac:dyDescent="0.2">
      <c r="A97" s="1" t="s">
        <v>7</v>
      </c>
      <c r="B97" s="101" t="s">
        <v>225</v>
      </c>
      <c r="C97" s="80"/>
      <c r="D97" s="6">
        <f>($D$93/30/12)*1</f>
        <v>4.8581893750000003</v>
      </c>
    </row>
    <row r="98" spans="1:4" ht="16.5" customHeight="1" x14ac:dyDescent="0.2">
      <c r="A98" s="1" t="s">
        <v>10</v>
      </c>
      <c r="B98" s="101" t="s">
        <v>226</v>
      </c>
      <c r="C98" s="80"/>
      <c r="D98" s="6">
        <f>(($D$93/30/12)*5)*0.015</f>
        <v>0.36436420312500001</v>
      </c>
    </row>
    <row r="99" spans="1:4" ht="16.5" customHeight="1" x14ac:dyDescent="0.2">
      <c r="A99" s="1" t="s">
        <v>13</v>
      </c>
      <c r="B99" s="101" t="s">
        <v>227</v>
      </c>
      <c r="C99" s="80"/>
      <c r="D99" s="6">
        <f>(($D$93/30/12)*30)*0.08</f>
        <v>11.659654500000002</v>
      </c>
    </row>
    <row r="100" spans="1:4" ht="16.5" customHeight="1" x14ac:dyDescent="0.2">
      <c r="A100" s="1" t="s">
        <v>34</v>
      </c>
      <c r="B100" s="101" t="s">
        <v>228</v>
      </c>
      <c r="C100" s="80"/>
      <c r="D100" s="6">
        <f>(($D$93/30/12)*5)*0.4</f>
        <v>9.7163787500000023</v>
      </c>
    </row>
    <row r="101" spans="1:4" ht="24.75" customHeight="1" x14ac:dyDescent="0.2">
      <c r="A101" s="1" t="s">
        <v>36</v>
      </c>
      <c r="B101" s="101" t="s">
        <v>229</v>
      </c>
      <c r="C101" s="80"/>
      <c r="D101" s="5">
        <f>(D96+D97+D98+D99+D100)*C61</f>
        <v>68.569815982638758</v>
      </c>
    </row>
    <row r="102" spans="1:4" ht="41.25" customHeight="1" x14ac:dyDescent="0.2">
      <c r="A102" s="1" t="s">
        <v>38</v>
      </c>
      <c r="B102" s="16" t="s">
        <v>230</v>
      </c>
      <c r="C102" s="10" t="s">
        <v>51</v>
      </c>
      <c r="D102" s="6">
        <f>(((D39+(D39/3))*(4/12))/12)*0.02</f>
        <v>1.0846296296296296</v>
      </c>
    </row>
    <row r="103" spans="1:4" ht="46.5" customHeight="1" x14ac:dyDescent="0.2">
      <c r="A103" s="1" t="s">
        <v>40</v>
      </c>
      <c r="B103" s="16" t="s">
        <v>231</v>
      </c>
      <c r="C103" s="10" t="s">
        <v>51</v>
      </c>
      <c r="D103" s="6">
        <f>D102*C61</f>
        <v>0.43168259259259267</v>
      </c>
    </row>
    <row r="104" spans="1:4" ht="39" customHeight="1" x14ac:dyDescent="0.2">
      <c r="A104" s="1" t="s">
        <v>42</v>
      </c>
      <c r="B104" s="16" t="s">
        <v>232</v>
      </c>
      <c r="C104" s="10" t="s">
        <v>51</v>
      </c>
      <c r="D104" s="6">
        <f>(((D39+(D39/12))*(4/12))*0.02)*C61</f>
        <v>4.2089052777777773</v>
      </c>
    </row>
    <row r="105" spans="1:4" ht="12.75" customHeight="1" x14ac:dyDescent="0.2">
      <c r="A105" s="98" t="s">
        <v>109</v>
      </c>
      <c r="B105" s="79"/>
      <c r="C105" s="80"/>
      <c r="D105" s="8">
        <f>SUM(D96:D104)</f>
        <v>246.58100328826373</v>
      </c>
    </row>
    <row r="106" spans="1:4" ht="12.75" customHeight="1" x14ac:dyDescent="0.2">
      <c r="A106" s="105"/>
      <c r="B106" s="79"/>
      <c r="C106" s="79"/>
      <c r="D106" s="80"/>
    </row>
    <row r="107" spans="1:4" ht="16.5" customHeight="1" x14ac:dyDescent="0.2">
      <c r="A107" s="103" t="s">
        <v>110</v>
      </c>
      <c r="B107" s="79"/>
      <c r="C107" s="79"/>
      <c r="D107" s="80"/>
    </row>
    <row r="108" spans="1:4" ht="12.75" customHeight="1" x14ac:dyDescent="0.2">
      <c r="A108" s="4" t="s">
        <v>111</v>
      </c>
      <c r="B108" s="98" t="s">
        <v>112</v>
      </c>
      <c r="C108" s="80"/>
      <c r="D108" s="4" t="s">
        <v>29</v>
      </c>
    </row>
    <row r="109" spans="1:4" ht="12.75" customHeight="1" x14ac:dyDescent="0.2">
      <c r="A109" s="1" t="s">
        <v>5</v>
      </c>
      <c r="B109" s="101" t="s">
        <v>113</v>
      </c>
      <c r="C109" s="80"/>
      <c r="D109" s="6">
        <v>0</v>
      </c>
    </row>
    <row r="110" spans="1:4" ht="12.75" customHeight="1" x14ac:dyDescent="0.2">
      <c r="A110" s="98" t="s">
        <v>114</v>
      </c>
      <c r="B110" s="79"/>
      <c r="C110" s="80"/>
      <c r="D110" s="8">
        <f>SUM(D109)</f>
        <v>0</v>
      </c>
    </row>
    <row r="111" spans="1:4" ht="12.75" customHeight="1" x14ac:dyDescent="0.2">
      <c r="A111" s="105"/>
      <c r="B111" s="79"/>
      <c r="C111" s="79"/>
      <c r="D111" s="80"/>
    </row>
    <row r="112" spans="1:4" ht="15.75" customHeight="1" x14ac:dyDescent="0.2">
      <c r="A112" s="103" t="s">
        <v>115</v>
      </c>
      <c r="B112" s="79"/>
      <c r="C112" s="79"/>
      <c r="D112" s="80"/>
    </row>
    <row r="113" spans="1:4" ht="12.75" customHeight="1" x14ac:dyDescent="0.2">
      <c r="A113" s="4">
        <v>4</v>
      </c>
      <c r="B113" s="98" t="s">
        <v>83</v>
      </c>
      <c r="C113" s="80"/>
      <c r="D113" s="4" t="s">
        <v>29</v>
      </c>
    </row>
    <row r="114" spans="1:4" ht="12.75" customHeight="1" x14ac:dyDescent="0.2">
      <c r="A114" s="1" t="s">
        <v>98</v>
      </c>
      <c r="B114" s="101" t="s">
        <v>116</v>
      </c>
      <c r="C114" s="80"/>
      <c r="D114" s="6">
        <f>D105</f>
        <v>246.58100328826373</v>
      </c>
    </row>
    <row r="115" spans="1:4" ht="16.5" customHeight="1" x14ac:dyDescent="0.2">
      <c r="A115" s="1" t="s">
        <v>111</v>
      </c>
      <c r="B115" s="101" t="s">
        <v>112</v>
      </c>
      <c r="C115" s="80"/>
      <c r="D115" s="6">
        <f>D110</f>
        <v>0</v>
      </c>
    </row>
    <row r="116" spans="1:4" ht="16.5" customHeight="1" x14ac:dyDescent="0.2">
      <c r="A116" s="98" t="s">
        <v>84</v>
      </c>
      <c r="B116" s="79"/>
      <c r="C116" s="80"/>
      <c r="D116" s="8">
        <f>D114+D115</f>
        <v>246.58100328826373</v>
      </c>
    </row>
    <row r="117" spans="1:4" ht="12.75" customHeight="1" x14ac:dyDescent="0.2">
      <c r="A117" s="105"/>
      <c r="B117" s="79"/>
      <c r="C117" s="79"/>
      <c r="D117" s="80"/>
    </row>
    <row r="118" spans="1:4" ht="16.5" customHeight="1" x14ac:dyDescent="0.2">
      <c r="A118" s="102" t="s">
        <v>117</v>
      </c>
      <c r="B118" s="79"/>
      <c r="C118" s="79"/>
      <c r="D118" s="80"/>
    </row>
    <row r="119" spans="1:4" ht="12.75" customHeight="1" x14ac:dyDescent="0.2">
      <c r="A119" s="4">
        <v>5</v>
      </c>
      <c r="B119" s="98" t="s">
        <v>118</v>
      </c>
      <c r="C119" s="80"/>
      <c r="D119" s="4" t="s">
        <v>29</v>
      </c>
    </row>
    <row r="120" spans="1:4" ht="12.75" x14ac:dyDescent="0.2">
      <c r="A120" s="1" t="s">
        <v>5</v>
      </c>
      <c r="B120" s="106" t="s">
        <v>233</v>
      </c>
      <c r="C120" s="80"/>
      <c r="D120" s="6">
        <f>'EPI E UNIFORMES'!$F$12</f>
        <v>32.770000000000003</v>
      </c>
    </row>
    <row r="121" spans="1:4" ht="38.25" customHeight="1" x14ac:dyDescent="0.2">
      <c r="A121" s="1" t="s">
        <v>7</v>
      </c>
      <c r="B121" s="106" t="s">
        <v>234</v>
      </c>
      <c r="C121" s="80"/>
      <c r="D121" s="6">
        <f>'EPI E UNIFORMES'!$F$22</f>
        <v>34.880000000000003</v>
      </c>
    </row>
    <row r="122" spans="1:4" ht="38.25" customHeight="1" x14ac:dyDescent="0.2">
      <c r="A122" s="1" t="s">
        <v>10</v>
      </c>
      <c r="B122" s="106" t="s">
        <v>235</v>
      </c>
      <c r="C122" s="80"/>
      <c r="D122" s="6">
        <f>INSUMOS!$H$82</f>
        <v>739.04</v>
      </c>
    </row>
    <row r="123" spans="1:4" ht="40.5" customHeight="1" x14ac:dyDescent="0.2">
      <c r="A123" s="1" t="s">
        <v>13</v>
      </c>
      <c r="B123" s="106" t="s">
        <v>236</v>
      </c>
      <c r="C123" s="80"/>
      <c r="D123" s="6">
        <f>EQUIPAMENTOS!$J$26</f>
        <v>48.34</v>
      </c>
    </row>
    <row r="124" spans="1:4" ht="16.5" customHeight="1" x14ac:dyDescent="0.2">
      <c r="A124" s="1" t="s">
        <v>34</v>
      </c>
      <c r="B124" s="106" t="s">
        <v>123</v>
      </c>
      <c r="C124" s="80"/>
      <c r="D124" s="5">
        <v>0</v>
      </c>
    </row>
    <row r="125" spans="1:4" ht="16.5" customHeight="1" x14ac:dyDescent="0.2">
      <c r="A125" s="98" t="s">
        <v>124</v>
      </c>
      <c r="B125" s="79"/>
      <c r="C125" s="80"/>
      <c r="D125" s="8">
        <f>SUM(D120:D124)</f>
        <v>855.03</v>
      </c>
    </row>
    <row r="126" spans="1:4" ht="12.75" customHeight="1" x14ac:dyDescent="0.2">
      <c r="A126" s="105"/>
      <c r="B126" s="79"/>
      <c r="C126" s="79"/>
      <c r="D126" s="80"/>
    </row>
    <row r="127" spans="1:4" ht="16.5" customHeight="1" x14ac:dyDescent="0.2">
      <c r="A127" s="102" t="s">
        <v>125</v>
      </c>
      <c r="B127" s="79"/>
      <c r="C127" s="79"/>
      <c r="D127" s="80"/>
    </row>
    <row r="128" spans="1:4" ht="12.75" customHeight="1" x14ac:dyDescent="0.2">
      <c r="A128" s="4">
        <v>6</v>
      </c>
      <c r="B128" s="12" t="s">
        <v>126</v>
      </c>
      <c r="C128" s="4" t="s">
        <v>127</v>
      </c>
      <c r="D128" s="10" t="s">
        <v>29</v>
      </c>
    </row>
    <row r="129" spans="1:4" ht="12.75" customHeight="1" x14ac:dyDescent="0.2">
      <c r="A129" s="1" t="s">
        <v>5</v>
      </c>
      <c r="B129" s="9" t="s">
        <v>128</v>
      </c>
      <c r="C129" s="18">
        <f>BDI!H5</f>
        <v>3.6740000000000002E-2</v>
      </c>
      <c r="D129" s="6">
        <f>D150*C129</f>
        <v>149.94248740006583</v>
      </c>
    </row>
    <row r="130" spans="1:4" ht="44.25" customHeight="1" x14ac:dyDescent="0.2">
      <c r="A130" s="101" t="s">
        <v>129</v>
      </c>
      <c r="B130" s="79"/>
      <c r="C130" s="79"/>
      <c r="D130" s="80"/>
    </row>
    <row r="131" spans="1:4" ht="12.75" customHeight="1" x14ac:dyDescent="0.2">
      <c r="A131" s="1" t="s">
        <v>7</v>
      </c>
      <c r="B131" s="9" t="s">
        <v>130</v>
      </c>
      <c r="C131" s="18">
        <f>BDI!H6</f>
        <v>3.0520000000000002E-2</v>
      </c>
      <c r="D131" s="6">
        <f>(D150+D129)*C131</f>
        <v>129.13380365529784</v>
      </c>
    </row>
    <row r="132" spans="1:4" ht="42.75" customHeight="1" x14ac:dyDescent="0.2">
      <c r="A132" s="101" t="s">
        <v>131</v>
      </c>
      <c r="B132" s="79"/>
      <c r="C132" s="79"/>
      <c r="D132" s="80"/>
    </row>
    <row r="133" spans="1:4" ht="12.75" customHeight="1" x14ac:dyDescent="0.2">
      <c r="A133" s="1" t="s">
        <v>10</v>
      </c>
      <c r="B133" s="9" t="s">
        <v>132</v>
      </c>
      <c r="C133" s="13"/>
      <c r="D133" s="1"/>
    </row>
    <row r="134" spans="1:4" ht="41.25" customHeight="1" x14ac:dyDescent="0.2">
      <c r="A134" s="101" t="s">
        <v>133</v>
      </c>
      <c r="B134" s="79"/>
      <c r="C134" s="79"/>
      <c r="D134" s="80"/>
    </row>
    <row r="135" spans="1:4" ht="12.75" customHeight="1" x14ac:dyDescent="0.2">
      <c r="A135" s="110"/>
      <c r="B135" s="9" t="s">
        <v>134</v>
      </c>
      <c r="C135" s="13"/>
      <c r="D135" s="1"/>
    </row>
    <row r="136" spans="1:4" ht="12.75" customHeight="1" x14ac:dyDescent="0.2">
      <c r="A136" s="111"/>
      <c r="B136" s="9" t="s">
        <v>135</v>
      </c>
      <c r="C136" s="13">
        <v>1.6500000000000001E-2</v>
      </c>
      <c r="D136" s="6">
        <f t="shared" ref="D136:D137" si="2">($D$129+$D$131+$D$150)/(1-($C$136+$C$137+$C$139))*C136</f>
        <v>83.89994081812813</v>
      </c>
    </row>
    <row r="137" spans="1:4" ht="12.75" customHeight="1" x14ac:dyDescent="0.2">
      <c r="A137" s="111"/>
      <c r="B137" s="9" t="s">
        <v>136</v>
      </c>
      <c r="C137" s="13">
        <v>7.5999999999999998E-2</v>
      </c>
      <c r="D137" s="6">
        <f t="shared" si="2"/>
        <v>386.44821225319623</v>
      </c>
    </row>
    <row r="138" spans="1:4" ht="12.75" customHeight="1" x14ac:dyDescent="0.2">
      <c r="A138" s="111"/>
      <c r="B138" s="9" t="s">
        <v>137</v>
      </c>
      <c r="C138" s="13"/>
      <c r="D138" s="1"/>
    </row>
    <row r="139" spans="1:4" ht="12.75" customHeight="1" x14ac:dyDescent="0.2">
      <c r="A139" s="111"/>
      <c r="B139" s="9" t="s">
        <v>138</v>
      </c>
      <c r="C139" s="107">
        <v>0.05</v>
      </c>
      <c r="D139" s="109">
        <f>($D$129+$D$131+$D$150)/(1-($C$136+$C$137+$C$139))*C139</f>
        <v>254.24224490341859</v>
      </c>
    </row>
    <row r="140" spans="1:4" ht="12.75" customHeight="1" x14ac:dyDescent="0.2">
      <c r="A140" s="108"/>
      <c r="B140" s="9" t="s">
        <v>139</v>
      </c>
      <c r="C140" s="108"/>
      <c r="D140" s="108"/>
    </row>
    <row r="141" spans="1:4" ht="12.75" customHeight="1" x14ac:dyDescent="0.2">
      <c r="A141" s="98" t="s">
        <v>140</v>
      </c>
      <c r="B141" s="79"/>
      <c r="C141" s="80"/>
      <c r="D141" s="19">
        <f>SUM(D129:D139)</f>
        <v>1003.6666890301067</v>
      </c>
    </row>
    <row r="142" spans="1:4" ht="26.25" customHeight="1" x14ac:dyDescent="0.2">
      <c r="A142" s="113" t="s">
        <v>141</v>
      </c>
      <c r="B142" s="79"/>
      <c r="C142" s="79"/>
      <c r="D142" s="80"/>
    </row>
    <row r="143" spans="1:4" ht="12.75" customHeight="1" x14ac:dyDescent="0.2">
      <c r="A143" s="100" t="s">
        <v>142</v>
      </c>
      <c r="B143" s="79"/>
      <c r="C143" s="79"/>
      <c r="D143" s="80"/>
    </row>
    <row r="144" spans="1:4" ht="12.75" customHeight="1" x14ac:dyDescent="0.2">
      <c r="A144" s="20"/>
      <c r="B144" s="98" t="s">
        <v>143</v>
      </c>
      <c r="C144" s="80"/>
      <c r="D144" s="7" t="s">
        <v>144</v>
      </c>
    </row>
    <row r="145" spans="1:4" ht="12.75" customHeight="1" x14ac:dyDescent="0.2">
      <c r="A145" s="1" t="s">
        <v>5</v>
      </c>
      <c r="B145" s="101" t="s">
        <v>145</v>
      </c>
      <c r="C145" s="80"/>
      <c r="D145" s="6">
        <f>D39</f>
        <v>1464.25</v>
      </c>
    </row>
    <row r="146" spans="1:4" ht="12.75" customHeight="1" x14ac:dyDescent="0.2">
      <c r="A146" s="1" t="s">
        <v>7</v>
      </c>
      <c r="B146" s="101" t="s">
        <v>146</v>
      </c>
      <c r="C146" s="80"/>
      <c r="D146" s="6">
        <f>D79</f>
        <v>1408.1717886500001</v>
      </c>
    </row>
    <row r="147" spans="1:4" ht="26.25" customHeight="1" x14ac:dyDescent="0.2">
      <c r="A147" s="1" t="s">
        <v>10</v>
      </c>
      <c r="B147" s="101" t="s">
        <v>147</v>
      </c>
      <c r="C147" s="80"/>
      <c r="D147" s="6">
        <f>D89</f>
        <v>107.1454171</v>
      </c>
    </row>
    <row r="148" spans="1:4" ht="16.5" customHeight="1" x14ac:dyDescent="0.2">
      <c r="A148" s="1" t="s">
        <v>13</v>
      </c>
      <c r="B148" s="101" t="s">
        <v>148</v>
      </c>
      <c r="C148" s="80"/>
      <c r="D148" s="6">
        <f>D116</f>
        <v>246.58100328826373</v>
      </c>
    </row>
    <row r="149" spans="1:4" ht="16.5" customHeight="1" x14ac:dyDescent="0.2">
      <c r="A149" s="1" t="s">
        <v>34</v>
      </c>
      <c r="B149" s="101" t="s">
        <v>149</v>
      </c>
      <c r="C149" s="80"/>
      <c r="D149" s="6">
        <f>D125</f>
        <v>855.03</v>
      </c>
    </row>
    <row r="150" spans="1:4" ht="16.5" customHeight="1" x14ac:dyDescent="0.2">
      <c r="A150" s="104" t="s">
        <v>150</v>
      </c>
      <c r="B150" s="79"/>
      <c r="C150" s="80"/>
      <c r="D150" s="11">
        <f>SUM(D145:D149)</f>
        <v>4081.178209038264</v>
      </c>
    </row>
    <row r="151" spans="1:4" ht="16.5" customHeight="1" x14ac:dyDescent="0.2">
      <c r="A151" s="1" t="s">
        <v>36</v>
      </c>
      <c r="B151" s="101" t="s">
        <v>151</v>
      </c>
      <c r="C151" s="80"/>
      <c r="D151" s="6">
        <f>D141</f>
        <v>1003.6666890301067</v>
      </c>
    </row>
    <row r="152" spans="1:4" ht="16.5" customHeight="1" x14ac:dyDescent="0.2">
      <c r="A152" s="1" t="s">
        <v>38</v>
      </c>
      <c r="B152" s="101" t="s">
        <v>152</v>
      </c>
      <c r="C152" s="80"/>
      <c r="D152" s="6">
        <v>0</v>
      </c>
    </row>
    <row r="153" spans="1:4" ht="16.5" customHeight="1" x14ac:dyDescent="0.2">
      <c r="A153" s="112" t="s">
        <v>153</v>
      </c>
      <c r="B153" s="79"/>
      <c r="C153" s="80"/>
      <c r="D153" s="21">
        <f>SUM(D151+D150+D152)</f>
        <v>5084.8448980683706</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8:D8"/>
    <mergeCell ref="A4:D4"/>
    <mergeCell ref="A5:D5"/>
    <mergeCell ref="A6:D7"/>
    <mergeCell ref="A9:D9"/>
    <mergeCell ref="B10:C10"/>
  </mergeCells>
  <pageMargins left="0.25" right="0.25" top="0.75" bottom="0.75" header="0" footer="0"/>
  <pageSetup paperSize="9" fitToHeight="0"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7E6E6"/>
    <pageSetUpPr fitToPage="1"/>
  </sheetPr>
  <dimension ref="A1:D153"/>
  <sheetViews>
    <sheetView showGridLines="0" tabSelected="1" workbookViewId="0">
      <selection sqref="A1:D1"/>
    </sheetView>
  </sheetViews>
  <sheetFormatPr defaultColWidth="14.42578125" defaultRowHeight="15" customHeight="1" x14ac:dyDescent="0.2"/>
  <cols>
    <col min="1" max="1" width="14.85546875" customWidth="1"/>
    <col min="2" max="2" width="61.28515625" customWidth="1"/>
    <col min="3" max="3" width="14.5703125" customWidth="1"/>
    <col min="4" max="4" width="29.7109375" customWidth="1"/>
  </cols>
  <sheetData>
    <row r="1" spans="1:4" ht="18" x14ac:dyDescent="0.25">
      <c r="A1" s="78" t="s">
        <v>0</v>
      </c>
      <c r="B1" s="79"/>
      <c r="C1" s="79"/>
      <c r="D1" s="80"/>
    </row>
    <row r="2" spans="1:4" ht="31.5" customHeight="1" x14ac:dyDescent="0.2">
      <c r="A2" s="112" t="s">
        <v>237</v>
      </c>
      <c r="B2" s="79"/>
      <c r="C2" s="79"/>
      <c r="D2" s="80"/>
    </row>
    <row r="3" spans="1:4" ht="12.75" customHeight="1" x14ac:dyDescent="0.2">
      <c r="A3" s="82"/>
      <c r="B3" s="83"/>
      <c r="C3" s="83"/>
      <c r="D3" s="84"/>
    </row>
    <row r="4" spans="1:4" ht="12.75" customHeight="1" x14ac:dyDescent="0.2">
      <c r="A4" s="85" t="s">
        <v>2</v>
      </c>
      <c r="B4" s="86"/>
      <c r="C4" s="86"/>
      <c r="D4" s="87"/>
    </row>
    <row r="5" spans="1:4" ht="12.75" customHeight="1" x14ac:dyDescent="0.2">
      <c r="A5" s="85" t="s">
        <v>3</v>
      </c>
      <c r="B5" s="86"/>
      <c r="C5" s="86"/>
      <c r="D5" s="87"/>
    </row>
    <row r="6" spans="1:4" ht="12.75" customHeight="1" x14ac:dyDescent="0.2">
      <c r="A6" s="88"/>
      <c r="B6" s="86"/>
      <c r="C6" s="86"/>
      <c r="D6" s="87"/>
    </row>
    <row r="7" spans="1:4" ht="12.75" customHeight="1" x14ac:dyDescent="0.2">
      <c r="A7" s="89"/>
      <c r="B7" s="86"/>
      <c r="C7" s="86"/>
      <c r="D7" s="87"/>
    </row>
    <row r="8" spans="1:4" ht="12.75" customHeight="1" x14ac:dyDescent="0.2">
      <c r="A8" s="90"/>
      <c r="B8" s="91"/>
      <c r="C8" s="91"/>
      <c r="D8" s="92"/>
    </row>
    <row r="9" spans="1:4" ht="13.5" customHeight="1" x14ac:dyDescent="0.2">
      <c r="A9" s="93" t="s">
        <v>4</v>
      </c>
      <c r="B9" s="94"/>
      <c r="C9" s="94"/>
      <c r="D9" s="95"/>
    </row>
    <row r="10" spans="1:4" ht="12.75" customHeight="1" x14ac:dyDescent="0.2">
      <c r="A10" s="1" t="s">
        <v>5</v>
      </c>
      <c r="B10" s="96" t="s">
        <v>6</v>
      </c>
      <c r="C10" s="80"/>
      <c r="D10" s="1"/>
    </row>
    <row r="11" spans="1:4" ht="12.75" customHeight="1" x14ac:dyDescent="0.2">
      <c r="A11" s="1" t="s">
        <v>7</v>
      </c>
      <c r="B11" s="96" t="s">
        <v>8</v>
      </c>
      <c r="C11" s="80"/>
      <c r="D11" s="1" t="s">
        <v>9</v>
      </c>
    </row>
    <row r="12" spans="1:4" ht="12.75" customHeight="1" x14ac:dyDescent="0.2">
      <c r="A12" s="1" t="s">
        <v>10</v>
      </c>
      <c r="B12" s="96" t="s">
        <v>11</v>
      </c>
      <c r="C12" s="80"/>
      <c r="D12" s="1" t="s">
        <v>12</v>
      </c>
    </row>
    <row r="13" spans="1:4" ht="12.75" customHeight="1" x14ac:dyDescent="0.2">
      <c r="A13" s="1" t="s">
        <v>13</v>
      </c>
      <c r="B13" s="96" t="s">
        <v>14</v>
      </c>
      <c r="C13" s="80"/>
      <c r="D13" s="1">
        <v>12</v>
      </c>
    </row>
    <row r="14" spans="1:4" ht="12.75" customHeight="1" x14ac:dyDescent="0.2">
      <c r="A14" s="97"/>
      <c r="B14" s="79"/>
      <c r="C14" s="79"/>
      <c r="D14" s="80"/>
    </row>
    <row r="15" spans="1:4" ht="12.75" customHeight="1" x14ac:dyDescent="0.2">
      <c r="A15" s="93" t="s">
        <v>15</v>
      </c>
      <c r="B15" s="94"/>
      <c r="C15" s="94"/>
      <c r="D15" s="95"/>
    </row>
    <row r="16" spans="1:4" ht="12.75" customHeight="1" x14ac:dyDescent="0.2">
      <c r="A16" s="98" t="s">
        <v>16</v>
      </c>
      <c r="B16" s="79"/>
      <c r="C16" s="79"/>
      <c r="D16" s="80"/>
    </row>
    <row r="17" spans="1:4" ht="12.75" customHeight="1" x14ac:dyDescent="0.2">
      <c r="A17" s="96" t="s">
        <v>17</v>
      </c>
      <c r="B17" s="79"/>
      <c r="C17" s="79"/>
      <c r="D17" s="80"/>
    </row>
    <row r="18" spans="1:4" ht="12.75" customHeight="1" x14ac:dyDescent="0.2">
      <c r="A18" s="97"/>
      <c r="B18" s="79"/>
      <c r="C18" s="79"/>
      <c r="D18" s="80"/>
    </row>
    <row r="19" spans="1:4" ht="20.25" customHeight="1" x14ac:dyDescent="0.2">
      <c r="A19" s="99" t="s">
        <v>18</v>
      </c>
      <c r="B19" s="79"/>
      <c r="C19" s="79"/>
      <c r="D19" s="80"/>
    </row>
    <row r="20" spans="1:4" ht="12.75" customHeight="1" x14ac:dyDescent="0.2">
      <c r="A20" s="100" t="s">
        <v>19</v>
      </c>
      <c r="B20" s="79"/>
      <c r="C20" s="79"/>
      <c r="D20" s="80"/>
    </row>
    <row r="21" spans="1:4" ht="15.75" customHeight="1" x14ac:dyDescent="0.2">
      <c r="A21" s="98" t="s">
        <v>20</v>
      </c>
      <c r="B21" s="79"/>
      <c r="C21" s="79"/>
      <c r="D21" s="80"/>
    </row>
    <row r="22" spans="1:4" ht="12.75" x14ac:dyDescent="0.2">
      <c r="A22" s="1">
        <v>1</v>
      </c>
      <c r="B22" s="101" t="s">
        <v>21</v>
      </c>
      <c r="C22" s="80"/>
      <c r="D22" s="1" t="str">
        <f>A17</f>
        <v>Limpeza e Conservação</v>
      </c>
    </row>
    <row r="23" spans="1:4" ht="12.75" customHeight="1" x14ac:dyDescent="0.2">
      <c r="A23" s="1">
        <v>2</v>
      </c>
      <c r="B23" s="101" t="s">
        <v>22</v>
      </c>
      <c r="C23" s="80"/>
      <c r="D23" s="1" t="s">
        <v>23</v>
      </c>
    </row>
    <row r="24" spans="1:4" ht="12.75" customHeight="1" x14ac:dyDescent="0.2">
      <c r="A24" s="1">
        <v>3</v>
      </c>
      <c r="B24" s="101" t="s">
        <v>24</v>
      </c>
      <c r="C24" s="80"/>
      <c r="D24" s="2">
        <v>1198.0899999999999</v>
      </c>
    </row>
    <row r="25" spans="1:4" ht="78.75" customHeight="1" x14ac:dyDescent="0.2">
      <c r="A25" s="1">
        <v>4</v>
      </c>
      <c r="B25" s="101" t="s">
        <v>25</v>
      </c>
      <c r="C25" s="80"/>
      <c r="D25" s="1" t="str">
        <f>A2</f>
        <v xml:space="preserve">SERVENTE DE LIMPEZA  (44 HORAS de segunda a sábado) com insalubridade 40%, para limpeza geral com prioridade para os banheiros com 60 usuários ou mais por dia </v>
      </c>
    </row>
    <row r="26" spans="1:4" ht="12.75" customHeight="1" x14ac:dyDescent="0.2">
      <c r="A26" s="1">
        <v>5</v>
      </c>
      <c r="B26" s="101" t="s">
        <v>26</v>
      </c>
      <c r="C26" s="80"/>
      <c r="D26" s="3">
        <v>44197</v>
      </c>
    </row>
    <row r="27" spans="1:4" ht="12.75" customHeight="1" x14ac:dyDescent="0.2">
      <c r="A27" s="97"/>
      <c r="B27" s="79"/>
      <c r="C27" s="79"/>
      <c r="D27" s="80"/>
    </row>
    <row r="28" spans="1:4" ht="12.75" customHeight="1" x14ac:dyDescent="0.2">
      <c r="A28" s="102" t="s">
        <v>27</v>
      </c>
      <c r="B28" s="79"/>
      <c r="C28" s="79"/>
      <c r="D28" s="80"/>
    </row>
    <row r="29" spans="1:4" ht="12.75" customHeight="1" x14ac:dyDescent="0.2">
      <c r="A29" s="4">
        <v>1</v>
      </c>
      <c r="B29" s="98" t="s">
        <v>28</v>
      </c>
      <c r="C29" s="80"/>
      <c r="D29" s="4" t="s">
        <v>29</v>
      </c>
    </row>
    <row r="30" spans="1:4" ht="12.75" customHeight="1" x14ac:dyDescent="0.2">
      <c r="A30" s="1" t="s">
        <v>5</v>
      </c>
      <c r="B30" s="101" t="s">
        <v>30</v>
      </c>
      <c r="C30" s="80"/>
      <c r="D30" s="5">
        <v>1198.0899999999999</v>
      </c>
    </row>
    <row r="31" spans="1:4" ht="12.75" customHeight="1" x14ac:dyDescent="0.2">
      <c r="A31" s="1" t="s">
        <v>7</v>
      </c>
      <c r="B31" s="101" t="s">
        <v>31</v>
      </c>
      <c r="C31" s="80"/>
      <c r="D31" s="6">
        <v>0</v>
      </c>
    </row>
    <row r="32" spans="1:4" ht="35.25" customHeight="1" x14ac:dyDescent="0.2">
      <c r="A32" s="1" t="s">
        <v>10</v>
      </c>
      <c r="B32" s="101" t="s">
        <v>238</v>
      </c>
      <c r="C32" s="80"/>
      <c r="D32" s="6">
        <f>1100*0.4</f>
        <v>440</v>
      </c>
    </row>
    <row r="33" spans="1:4" ht="36.75" customHeight="1" x14ac:dyDescent="0.2">
      <c r="A33" s="1" t="s">
        <v>13</v>
      </c>
      <c r="B33" s="101" t="s">
        <v>239</v>
      </c>
      <c r="C33" s="80"/>
      <c r="D33" s="6">
        <v>0</v>
      </c>
    </row>
    <row r="34" spans="1:4" ht="24.75" customHeight="1" x14ac:dyDescent="0.2">
      <c r="A34" s="1" t="s">
        <v>34</v>
      </c>
      <c r="B34" s="101" t="s">
        <v>240</v>
      </c>
      <c r="C34" s="80"/>
      <c r="D34" s="6">
        <v>0</v>
      </c>
    </row>
    <row r="35" spans="1:4" ht="32.25" customHeight="1" x14ac:dyDescent="0.2">
      <c r="A35" s="1" t="s">
        <v>36</v>
      </c>
      <c r="B35" s="101" t="s">
        <v>241</v>
      </c>
      <c r="C35" s="80"/>
      <c r="D35" s="6">
        <v>0</v>
      </c>
    </row>
    <row r="36" spans="1:4" ht="26.25" customHeight="1" x14ac:dyDescent="0.2">
      <c r="A36" s="1" t="s">
        <v>38</v>
      </c>
      <c r="B36" s="101" t="s">
        <v>242</v>
      </c>
      <c r="C36" s="80"/>
      <c r="D36" s="6">
        <v>0</v>
      </c>
    </row>
    <row r="37" spans="1:4" ht="12.75" customHeight="1" x14ac:dyDescent="0.2">
      <c r="A37" s="1" t="s">
        <v>40</v>
      </c>
      <c r="B37" s="101" t="s">
        <v>41</v>
      </c>
      <c r="C37" s="80"/>
      <c r="D37" s="5">
        <v>46.16</v>
      </c>
    </row>
    <row r="38" spans="1:4" ht="12.75" customHeight="1" x14ac:dyDescent="0.2">
      <c r="A38" s="1" t="s">
        <v>42</v>
      </c>
      <c r="B38" s="101" t="s">
        <v>43</v>
      </c>
      <c r="C38" s="80"/>
      <c r="D38" s="6">
        <v>0</v>
      </c>
    </row>
    <row r="39" spans="1:4" ht="12.75" customHeight="1" x14ac:dyDescent="0.2">
      <c r="A39" s="7"/>
      <c r="B39" s="98" t="s">
        <v>44</v>
      </c>
      <c r="C39" s="80"/>
      <c r="D39" s="8">
        <f>SUM(D30:D38)</f>
        <v>1684.25</v>
      </c>
    </row>
    <row r="40" spans="1:4" ht="12.75" customHeight="1" x14ac:dyDescent="0.2">
      <c r="A40" s="96" t="s">
        <v>45</v>
      </c>
      <c r="B40" s="79"/>
      <c r="C40" s="79"/>
      <c r="D40" s="80"/>
    </row>
    <row r="41" spans="1:4" ht="12.75" customHeight="1" x14ac:dyDescent="0.2">
      <c r="A41" s="97"/>
      <c r="B41" s="79"/>
      <c r="C41" s="79"/>
      <c r="D41" s="80"/>
    </row>
    <row r="42" spans="1:4" ht="12.75" customHeight="1" x14ac:dyDescent="0.2">
      <c r="A42" s="102" t="s">
        <v>46</v>
      </c>
      <c r="B42" s="79"/>
      <c r="C42" s="79"/>
      <c r="D42" s="80"/>
    </row>
    <row r="43" spans="1:4" ht="12.75" customHeight="1" x14ac:dyDescent="0.2">
      <c r="A43" s="103" t="s">
        <v>47</v>
      </c>
      <c r="B43" s="79"/>
      <c r="C43" s="79"/>
      <c r="D43" s="80"/>
    </row>
    <row r="44" spans="1:4" ht="12.75" customHeight="1" x14ac:dyDescent="0.2">
      <c r="A44" s="4" t="s">
        <v>48</v>
      </c>
      <c r="B44" s="98" t="s">
        <v>49</v>
      </c>
      <c r="C44" s="80"/>
      <c r="D44" s="4" t="s">
        <v>29</v>
      </c>
    </row>
    <row r="45" spans="1:4" ht="25.5" x14ac:dyDescent="0.2">
      <c r="A45" s="1" t="s">
        <v>5</v>
      </c>
      <c r="B45" s="9" t="s">
        <v>243</v>
      </c>
      <c r="C45" s="10" t="s">
        <v>51</v>
      </c>
      <c r="D45" s="6">
        <f>D39*0.0833</f>
        <v>140.298025</v>
      </c>
    </row>
    <row r="46" spans="1:4" ht="25.5" x14ac:dyDescent="0.2">
      <c r="A46" s="1" t="s">
        <v>7</v>
      </c>
      <c r="B46" s="9" t="s">
        <v>244</v>
      </c>
      <c r="C46" s="10" t="s">
        <v>51</v>
      </c>
      <c r="D46" s="6">
        <f>D39*0.0278</f>
        <v>46.822150000000001</v>
      </c>
    </row>
    <row r="47" spans="1:4" ht="12.75" customHeight="1" x14ac:dyDescent="0.2">
      <c r="A47" s="104" t="s">
        <v>53</v>
      </c>
      <c r="B47" s="79"/>
      <c r="C47" s="80"/>
      <c r="D47" s="11">
        <f>SUM(D45:D46)</f>
        <v>187.12017499999999</v>
      </c>
    </row>
    <row r="48" spans="1:4" ht="25.5" x14ac:dyDescent="0.2">
      <c r="A48" s="1" t="s">
        <v>10</v>
      </c>
      <c r="B48" s="9" t="s">
        <v>245</v>
      </c>
      <c r="C48" s="10" t="s">
        <v>51</v>
      </c>
      <c r="D48" s="6">
        <f>(D45+D46)*C61</f>
        <v>74.473829650000013</v>
      </c>
    </row>
    <row r="49" spans="1:4" ht="12.75" customHeight="1" x14ac:dyDescent="0.2">
      <c r="A49" s="98" t="s">
        <v>55</v>
      </c>
      <c r="B49" s="79"/>
      <c r="C49" s="80"/>
      <c r="D49" s="8">
        <f>D47+D48</f>
        <v>261.59400464999999</v>
      </c>
    </row>
    <row r="50" spans="1:4" ht="55.5" customHeight="1" x14ac:dyDescent="0.2">
      <c r="A50" s="101" t="s">
        <v>56</v>
      </c>
      <c r="B50" s="79"/>
      <c r="C50" s="79"/>
      <c r="D50" s="80"/>
    </row>
    <row r="51" spans="1:4" ht="12.75" customHeight="1" x14ac:dyDescent="0.2">
      <c r="A51" s="100" t="s">
        <v>57</v>
      </c>
      <c r="B51" s="79"/>
      <c r="C51" s="79"/>
      <c r="D51" s="80"/>
    </row>
    <row r="52" spans="1:4" ht="12.75" customHeight="1" x14ac:dyDescent="0.2">
      <c r="A52" s="4" t="s">
        <v>58</v>
      </c>
      <c r="B52" s="12" t="s">
        <v>59</v>
      </c>
      <c r="C52" s="4" t="s">
        <v>60</v>
      </c>
      <c r="D52" s="4" t="s">
        <v>29</v>
      </c>
    </row>
    <row r="53" spans="1:4" ht="12.75" customHeight="1" x14ac:dyDescent="0.2">
      <c r="A53" s="1" t="s">
        <v>5</v>
      </c>
      <c r="B53" s="9" t="s">
        <v>61</v>
      </c>
      <c r="C53" s="13">
        <v>0.2</v>
      </c>
      <c r="D53" s="6">
        <f t="shared" ref="D53:D60" si="0">C53*$D$39</f>
        <v>336.85</v>
      </c>
    </row>
    <row r="54" spans="1:4" ht="12.75" customHeight="1" x14ac:dyDescent="0.2">
      <c r="A54" s="1" t="s">
        <v>7</v>
      </c>
      <c r="B54" s="9" t="s">
        <v>62</v>
      </c>
      <c r="C54" s="13">
        <v>2.5000000000000001E-2</v>
      </c>
      <c r="D54" s="6">
        <f t="shared" si="0"/>
        <v>42.106250000000003</v>
      </c>
    </row>
    <row r="55" spans="1:4" ht="12.75" customHeight="1" x14ac:dyDescent="0.2">
      <c r="A55" s="1" t="s">
        <v>10</v>
      </c>
      <c r="B55" s="9" t="s">
        <v>63</v>
      </c>
      <c r="C55" s="13">
        <v>0.06</v>
      </c>
      <c r="D55" s="6">
        <f t="shared" si="0"/>
        <v>101.05499999999999</v>
      </c>
    </row>
    <row r="56" spans="1:4" ht="12.75" customHeight="1" x14ac:dyDescent="0.2">
      <c r="A56" s="1" t="s">
        <v>13</v>
      </c>
      <c r="B56" s="9" t="s">
        <v>64</v>
      </c>
      <c r="C56" s="13">
        <v>1.4999999999999999E-2</v>
      </c>
      <c r="D56" s="6">
        <f t="shared" si="0"/>
        <v>25.263749999999998</v>
      </c>
    </row>
    <row r="57" spans="1:4" ht="12.75" customHeight="1" x14ac:dyDescent="0.2">
      <c r="A57" s="1" t="s">
        <v>34</v>
      </c>
      <c r="B57" s="9" t="s">
        <v>65</v>
      </c>
      <c r="C57" s="13">
        <v>0.01</v>
      </c>
      <c r="D57" s="6">
        <f t="shared" si="0"/>
        <v>16.842500000000001</v>
      </c>
    </row>
    <row r="58" spans="1:4" ht="12.75" customHeight="1" x14ac:dyDescent="0.2">
      <c r="A58" s="1" t="s">
        <v>36</v>
      </c>
      <c r="B58" s="9" t="s">
        <v>66</v>
      </c>
      <c r="C58" s="13">
        <v>6.0000000000000001E-3</v>
      </c>
      <c r="D58" s="6">
        <f t="shared" si="0"/>
        <v>10.105500000000001</v>
      </c>
    </row>
    <row r="59" spans="1:4" ht="12.75" customHeight="1" x14ac:dyDescent="0.2">
      <c r="A59" s="1" t="s">
        <v>38</v>
      </c>
      <c r="B59" s="9" t="s">
        <v>67</v>
      </c>
      <c r="C59" s="13">
        <v>2E-3</v>
      </c>
      <c r="D59" s="6">
        <f t="shared" si="0"/>
        <v>3.3685</v>
      </c>
    </row>
    <row r="60" spans="1:4" ht="12.75" customHeight="1" x14ac:dyDescent="0.2">
      <c r="A60" s="1" t="s">
        <v>40</v>
      </c>
      <c r="B60" s="9" t="s">
        <v>68</v>
      </c>
      <c r="C60" s="13">
        <v>0.08</v>
      </c>
      <c r="D60" s="6">
        <f t="shared" si="0"/>
        <v>134.74</v>
      </c>
    </row>
    <row r="61" spans="1:4" ht="12.75" customHeight="1" x14ac:dyDescent="0.2">
      <c r="A61" s="7"/>
      <c r="B61" s="12" t="s">
        <v>69</v>
      </c>
      <c r="C61" s="14">
        <f t="shared" ref="C61:D61" si="1">SUM(C53:C60)</f>
        <v>0.39800000000000008</v>
      </c>
      <c r="D61" s="8">
        <f t="shared" si="1"/>
        <v>670.33150000000012</v>
      </c>
    </row>
    <row r="62" spans="1:4" ht="12.75" customHeight="1" x14ac:dyDescent="0.2">
      <c r="A62" s="105"/>
      <c r="B62" s="79"/>
      <c r="C62" s="79"/>
      <c r="D62" s="80"/>
    </row>
    <row r="63" spans="1:4" ht="12.75" customHeight="1" x14ac:dyDescent="0.2">
      <c r="A63" s="103" t="s">
        <v>70</v>
      </c>
      <c r="B63" s="79"/>
      <c r="C63" s="79"/>
      <c r="D63" s="80"/>
    </row>
    <row r="64" spans="1:4" ht="12.75" customHeight="1" x14ac:dyDescent="0.2">
      <c r="A64" s="4" t="s">
        <v>71</v>
      </c>
      <c r="B64" s="98" t="s">
        <v>72</v>
      </c>
      <c r="C64" s="80"/>
      <c r="D64" s="4" t="s">
        <v>29</v>
      </c>
    </row>
    <row r="65" spans="1:4" ht="12.75" customHeight="1" x14ac:dyDescent="0.2">
      <c r="A65" s="1" t="s">
        <v>5</v>
      </c>
      <c r="B65" s="101" t="s">
        <v>73</v>
      </c>
      <c r="C65" s="80"/>
      <c r="D65" s="15">
        <f>(4.1*2*22)-0.06*D30</f>
        <v>108.51459999999999</v>
      </c>
    </row>
    <row r="66" spans="1:4" ht="16.5" customHeight="1" x14ac:dyDescent="0.2">
      <c r="A66" s="1" t="s">
        <v>7</v>
      </c>
      <c r="B66" s="101" t="s">
        <v>74</v>
      </c>
      <c r="C66" s="80"/>
      <c r="D66" s="5">
        <f>(16*21.083)-(16*21.083)*0.05</f>
        <v>320.46159999999998</v>
      </c>
    </row>
    <row r="67" spans="1:4" ht="24" customHeight="1" x14ac:dyDescent="0.2">
      <c r="A67" s="1" t="s">
        <v>10</v>
      </c>
      <c r="B67" s="101" t="s">
        <v>75</v>
      </c>
      <c r="C67" s="80"/>
      <c r="D67" s="5">
        <v>0</v>
      </c>
    </row>
    <row r="68" spans="1:4" ht="16.5" customHeight="1" x14ac:dyDescent="0.2">
      <c r="A68" s="1" t="s">
        <v>13</v>
      </c>
      <c r="B68" s="101" t="s">
        <v>76</v>
      </c>
      <c r="C68" s="80"/>
      <c r="D68" s="5">
        <v>0</v>
      </c>
    </row>
    <row r="69" spans="1:4" ht="27" customHeight="1" x14ac:dyDescent="0.2">
      <c r="A69" s="1" t="s">
        <v>34</v>
      </c>
      <c r="B69" s="101" t="s">
        <v>77</v>
      </c>
      <c r="C69" s="80"/>
      <c r="D69" s="5">
        <f>4.2+10.2+13+10.2+11.4</f>
        <v>48.999999999999993</v>
      </c>
    </row>
    <row r="70" spans="1:4" ht="27" customHeight="1" x14ac:dyDescent="0.2">
      <c r="A70" s="1" t="s">
        <v>36</v>
      </c>
      <c r="B70" s="101" t="s">
        <v>78</v>
      </c>
      <c r="C70" s="80"/>
      <c r="D70" s="5">
        <v>120</v>
      </c>
    </row>
    <row r="71" spans="1:4" ht="16.5" customHeight="1" x14ac:dyDescent="0.2">
      <c r="A71" s="1" t="s">
        <v>38</v>
      </c>
      <c r="B71" s="101" t="s">
        <v>79</v>
      </c>
      <c r="C71" s="80"/>
      <c r="D71" s="6">
        <v>0</v>
      </c>
    </row>
    <row r="72" spans="1:4" ht="16.5" customHeight="1" x14ac:dyDescent="0.2">
      <c r="A72" s="98" t="s">
        <v>80</v>
      </c>
      <c r="B72" s="79"/>
      <c r="C72" s="80"/>
      <c r="D72" s="8">
        <f>SUM(D65:D71)</f>
        <v>597.97619999999995</v>
      </c>
    </row>
    <row r="73" spans="1:4" ht="44.25" customHeight="1" x14ac:dyDescent="0.2">
      <c r="A73" s="101" t="s">
        <v>81</v>
      </c>
      <c r="B73" s="79"/>
      <c r="C73" s="79"/>
      <c r="D73" s="80"/>
    </row>
    <row r="74" spans="1:4" ht="16.5" customHeight="1" x14ac:dyDescent="0.2">
      <c r="A74" s="103" t="s">
        <v>82</v>
      </c>
      <c r="B74" s="79"/>
      <c r="C74" s="79"/>
      <c r="D74" s="80"/>
    </row>
    <row r="75" spans="1:4" ht="12.75" customHeight="1" x14ac:dyDescent="0.2">
      <c r="A75" s="4">
        <v>2</v>
      </c>
      <c r="B75" s="98" t="s">
        <v>83</v>
      </c>
      <c r="C75" s="80"/>
      <c r="D75" s="4" t="s">
        <v>29</v>
      </c>
    </row>
    <row r="76" spans="1:4" ht="12.75" customHeight="1" x14ac:dyDescent="0.2">
      <c r="A76" s="1" t="s">
        <v>48</v>
      </c>
      <c r="B76" s="101" t="s">
        <v>49</v>
      </c>
      <c r="C76" s="80"/>
      <c r="D76" s="6">
        <f>D49</f>
        <v>261.59400464999999</v>
      </c>
    </row>
    <row r="77" spans="1:4" ht="16.5" customHeight="1" x14ac:dyDescent="0.2">
      <c r="A77" s="1" t="s">
        <v>58</v>
      </c>
      <c r="B77" s="101" t="s">
        <v>59</v>
      </c>
      <c r="C77" s="80"/>
      <c r="D77" s="6">
        <f>D61</f>
        <v>670.33150000000012</v>
      </c>
    </row>
    <row r="78" spans="1:4" ht="16.5" customHeight="1" x14ac:dyDescent="0.2">
      <c r="A78" s="1" t="s">
        <v>71</v>
      </c>
      <c r="B78" s="101" t="s">
        <v>72</v>
      </c>
      <c r="C78" s="80"/>
      <c r="D78" s="6">
        <f>D72</f>
        <v>597.97619999999995</v>
      </c>
    </row>
    <row r="79" spans="1:4" ht="16.5" customHeight="1" x14ac:dyDescent="0.2">
      <c r="A79" s="98" t="s">
        <v>84</v>
      </c>
      <c r="B79" s="79"/>
      <c r="C79" s="80"/>
      <c r="D79" s="8">
        <f>SUM(D76:D78)</f>
        <v>1529.9017046500001</v>
      </c>
    </row>
    <row r="80" spans="1:4" ht="12.75" customHeight="1" x14ac:dyDescent="0.2">
      <c r="A80" s="105"/>
      <c r="B80" s="79"/>
      <c r="C80" s="79"/>
      <c r="D80" s="80"/>
    </row>
    <row r="81" spans="1:4" ht="16.5" customHeight="1" x14ac:dyDescent="0.2">
      <c r="A81" s="102" t="s">
        <v>85</v>
      </c>
      <c r="B81" s="79"/>
      <c r="C81" s="79"/>
      <c r="D81" s="80"/>
    </row>
    <row r="82" spans="1:4" ht="12.75" customHeight="1" x14ac:dyDescent="0.2">
      <c r="A82" s="4">
        <v>3</v>
      </c>
      <c r="B82" s="98" t="s">
        <v>86</v>
      </c>
      <c r="C82" s="80"/>
      <c r="D82" s="4" t="s">
        <v>29</v>
      </c>
    </row>
    <row r="83" spans="1:4" ht="66.75" customHeight="1" x14ac:dyDescent="0.2">
      <c r="A83" s="1" t="s">
        <v>5</v>
      </c>
      <c r="B83" s="101" t="s">
        <v>246</v>
      </c>
      <c r="C83" s="80"/>
      <c r="D83" s="6">
        <f>ROUND((($D$39/12)+($D$45/12)+($D$39/12/12)+($D$46/12))*(30/30)*0.05,2)</f>
        <v>8.3800000000000008</v>
      </c>
    </row>
    <row r="84" spans="1:4" ht="26.25" customHeight="1" x14ac:dyDescent="0.2">
      <c r="A84" s="1" t="s">
        <v>7</v>
      </c>
      <c r="B84" s="101" t="s">
        <v>247</v>
      </c>
      <c r="C84" s="80"/>
      <c r="D84" s="6">
        <f>(D83*C60)</f>
        <v>0.67040000000000011</v>
      </c>
    </row>
    <row r="85" spans="1:4" ht="12.75" customHeight="1" x14ac:dyDescent="0.2">
      <c r="A85" s="1" t="s">
        <v>10</v>
      </c>
      <c r="B85" s="16" t="s">
        <v>248</v>
      </c>
      <c r="C85" s="10" t="s">
        <v>51</v>
      </c>
      <c r="D85" s="5">
        <f>ROUND(0.08*0.4*($D$39+$D$45+$D$46+$D$96)*0.05,2)</f>
        <v>3.26</v>
      </c>
    </row>
    <row r="86" spans="1:4" ht="26.25" customHeight="1" x14ac:dyDescent="0.2">
      <c r="A86" s="1" t="s">
        <v>13</v>
      </c>
      <c r="B86" s="101" t="s">
        <v>249</v>
      </c>
      <c r="C86" s="80"/>
      <c r="D86" s="6">
        <f>D39*0.0194</f>
        <v>32.67445</v>
      </c>
    </row>
    <row r="87" spans="1:4" ht="30.75" customHeight="1" x14ac:dyDescent="0.2">
      <c r="A87" s="1" t="s">
        <v>34</v>
      </c>
      <c r="B87" s="101" t="s">
        <v>250</v>
      </c>
      <c r="C87" s="80"/>
      <c r="D87" s="6">
        <f>D86*C61</f>
        <v>13.004431100000003</v>
      </c>
    </row>
    <row r="88" spans="1:4" ht="30.75" customHeight="1" x14ac:dyDescent="0.2">
      <c r="A88" s="1" t="s">
        <v>36</v>
      </c>
      <c r="B88" s="16" t="s">
        <v>251</v>
      </c>
      <c r="C88" s="10" t="s">
        <v>51</v>
      </c>
      <c r="D88" s="6">
        <f>ROUND(0.08*0.4*($D$39+$D$45+$D$46+$D$96)*1,2)</f>
        <v>65.25</v>
      </c>
    </row>
    <row r="89" spans="1:4" ht="12.75" customHeight="1" x14ac:dyDescent="0.2">
      <c r="A89" s="98" t="s">
        <v>93</v>
      </c>
      <c r="B89" s="79"/>
      <c r="C89" s="80"/>
      <c r="D89" s="8">
        <f>SUM(D83+D84+D85+D86+D87+D88)</f>
        <v>123.2392811</v>
      </c>
    </row>
    <row r="90" spans="1:4" ht="12.75" customHeight="1" x14ac:dyDescent="0.2">
      <c r="A90" s="105"/>
      <c r="B90" s="79"/>
      <c r="C90" s="79"/>
      <c r="D90" s="80"/>
    </row>
    <row r="91" spans="1:4" ht="16.5" customHeight="1" x14ac:dyDescent="0.2">
      <c r="A91" s="102" t="s">
        <v>94</v>
      </c>
      <c r="B91" s="79"/>
      <c r="C91" s="79"/>
      <c r="D91" s="80"/>
    </row>
    <row r="92" spans="1:4" ht="39.75" customHeight="1" x14ac:dyDescent="0.2">
      <c r="A92" s="114" t="s">
        <v>95</v>
      </c>
      <c r="B92" s="79"/>
      <c r="C92" s="79"/>
      <c r="D92" s="80"/>
    </row>
    <row r="93" spans="1:4" ht="47.25" customHeight="1" x14ac:dyDescent="0.2">
      <c r="A93" s="115" t="s">
        <v>96</v>
      </c>
      <c r="B93" s="79"/>
      <c r="C93" s="80"/>
      <c r="D93" s="17">
        <f>ROUND(D39/12,2)+D39+D45+D46</f>
        <v>2011.7201749999999</v>
      </c>
    </row>
    <row r="94" spans="1:4" ht="12.75" customHeight="1" x14ac:dyDescent="0.2">
      <c r="A94" s="100" t="s">
        <v>97</v>
      </c>
      <c r="B94" s="79"/>
      <c r="C94" s="79"/>
      <c r="D94" s="80"/>
    </row>
    <row r="95" spans="1:4" ht="12.75" customHeight="1" x14ac:dyDescent="0.2">
      <c r="A95" s="4" t="s">
        <v>98</v>
      </c>
      <c r="B95" s="98" t="s">
        <v>99</v>
      </c>
      <c r="C95" s="80"/>
      <c r="D95" s="4" t="s">
        <v>29</v>
      </c>
    </row>
    <row r="96" spans="1:4" ht="12.75" customHeight="1" x14ac:dyDescent="0.2">
      <c r="A96" s="1" t="s">
        <v>5</v>
      </c>
      <c r="B96" s="101" t="s">
        <v>252</v>
      </c>
      <c r="C96" s="80"/>
      <c r="D96" s="6">
        <f>D93*0.0833</f>
        <v>167.5762905775</v>
      </c>
    </row>
    <row r="97" spans="1:4" ht="16.5" customHeight="1" x14ac:dyDescent="0.2">
      <c r="A97" s="1" t="s">
        <v>7</v>
      </c>
      <c r="B97" s="101" t="s">
        <v>253</v>
      </c>
      <c r="C97" s="80"/>
      <c r="D97" s="6">
        <f>($D$93/30/12)*1</f>
        <v>5.5881115972222224</v>
      </c>
    </row>
    <row r="98" spans="1:4" ht="16.5" customHeight="1" x14ac:dyDescent="0.2">
      <c r="A98" s="1" t="s">
        <v>10</v>
      </c>
      <c r="B98" s="101" t="s">
        <v>254</v>
      </c>
      <c r="C98" s="80"/>
      <c r="D98" s="6">
        <f>(($D$93/30/12)*5)*0.015</f>
        <v>0.41910836979166666</v>
      </c>
    </row>
    <row r="99" spans="1:4" ht="16.5" customHeight="1" x14ac:dyDescent="0.2">
      <c r="A99" s="1" t="s">
        <v>13</v>
      </c>
      <c r="B99" s="101" t="s">
        <v>255</v>
      </c>
      <c r="C99" s="80"/>
      <c r="D99" s="6">
        <f>(($D$93/30/12)*30)*0.08</f>
        <v>13.411467833333333</v>
      </c>
    </row>
    <row r="100" spans="1:4" ht="16.5" customHeight="1" x14ac:dyDescent="0.2">
      <c r="A100" s="1" t="s">
        <v>34</v>
      </c>
      <c r="B100" s="101" t="s">
        <v>256</v>
      </c>
      <c r="C100" s="80"/>
      <c r="D100" s="6">
        <f>(($D$93/30/12)*5)*0.4</f>
        <v>11.176223194444447</v>
      </c>
    </row>
    <row r="101" spans="1:4" ht="24.75" customHeight="1" x14ac:dyDescent="0.2">
      <c r="A101" s="1" t="s">
        <v>36</v>
      </c>
      <c r="B101" s="101" t="s">
        <v>257</v>
      </c>
      <c r="C101" s="80"/>
      <c r="D101" s="5">
        <f>(D96+D97+D98+D99+D100)*C61</f>
        <v>78.872138225772105</v>
      </c>
    </row>
    <row r="102" spans="1:4" ht="41.25" customHeight="1" x14ac:dyDescent="0.2">
      <c r="A102" s="1" t="s">
        <v>38</v>
      </c>
      <c r="B102" s="16" t="s">
        <v>258</v>
      </c>
      <c r="C102" s="10" t="s">
        <v>51</v>
      </c>
      <c r="D102" s="6">
        <f>(((D39+(D39/3))*(4/12))/12)*0.02</f>
        <v>1.2475925925925924</v>
      </c>
    </row>
    <row r="103" spans="1:4" ht="46.5" customHeight="1" x14ac:dyDescent="0.2">
      <c r="A103" s="1" t="s">
        <v>40</v>
      </c>
      <c r="B103" s="16" t="s">
        <v>259</v>
      </c>
      <c r="C103" s="10" t="s">
        <v>51</v>
      </c>
      <c r="D103" s="6">
        <f>D102*C61</f>
        <v>0.49654185185185185</v>
      </c>
    </row>
    <row r="104" spans="1:4" ht="39" customHeight="1" x14ac:dyDescent="0.2">
      <c r="A104" s="1" t="s">
        <v>42</v>
      </c>
      <c r="B104" s="16" t="s">
        <v>260</v>
      </c>
      <c r="C104" s="10" t="s">
        <v>51</v>
      </c>
      <c r="D104" s="6">
        <f>(((D39+(D39/12))*(4/12))*0.02)*C61</f>
        <v>4.8412830555555573</v>
      </c>
    </row>
    <row r="105" spans="1:4" ht="12.75" customHeight="1" x14ac:dyDescent="0.2">
      <c r="A105" s="98" t="s">
        <v>109</v>
      </c>
      <c r="B105" s="79"/>
      <c r="C105" s="80"/>
      <c r="D105" s="8">
        <f>SUM(D96:D104)</f>
        <v>283.62875729806382</v>
      </c>
    </row>
    <row r="106" spans="1:4" ht="12.75" customHeight="1" x14ac:dyDescent="0.2">
      <c r="A106" s="105"/>
      <c r="B106" s="79"/>
      <c r="C106" s="79"/>
      <c r="D106" s="80"/>
    </row>
    <row r="107" spans="1:4" ht="16.5" customHeight="1" x14ac:dyDescent="0.2">
      <c r="A107" s="103" t="s">
        <v>110</v>
      </c>
      <c r="B107" s="79"/>
      <c r="C107" s="79"/>
      <c r="D107" s="80"/>
    </row>
    <row r="108" spans="1:4" ht="12.75" customHeight="1" x14ac:dyDescent="0.2">
      <c r="A108" s="4" t="s">
        <v>111</v>
      </c>
      <c r="B108" s="98" t="s">
        <v>112</v>
      </c>
      <c r="C108" s="80"/>
      <c r="D108" s="4" t="s">
        <v>29</v>
      </c>
    </row>
    <row r="109" spans="1:4" ht="12.75" customHeight="1" x14ac:dyDescent="0.2">
      <c r="A109" s="1" t="s">
        <v>5</v>
      </c>
      <c r="B109" s="101" t="s">
        <v>113</v>
      </c>
      <c r="C109" s="80"/>
      <c r="D109" s="6">
        <v>0</v>
      </c>
    </row>
    <row r="110" spans="1:4" ht="12.75" customHeight="1" x14ac:dyDescent="0.2">
      <c r="A110" s="98" t="s">
        <v>114</v>
      </c>
      <c r="B110" s="79"/>
      <c r="C110" s="80"/>
      <c r="D110" s="8">
        <f>SUM(D109)</f>
        <v>0</v>
      </c>
    </row>
    <row r="111" spans="1:4" ht="12.75" customHeight="1" x14ac:dyDescent="0.2">
      <c r="A111" s="105"/>
      <c r="B111" s="79"/>
      <c r="C111" s="79"/>
      <c r="D111" s="80"/>
    </row>
    <row r="112" spans="1:4" ht="15.75" customHeight="1" x14ac:dyDescent="0.2">
      <c r="A112" s="103" t="s">
        <v>115</v>
      </c>
      <c r="B112" s="79"/>
      <c r="C112" s="79"/>
      <c r="D112" s="80"/>
    </row>
    <row r="113" spans="1:4" ht="12.75" customHeight="1" x14ac:dyDescent="0.2">
      <c r="A113" s="4">
        <v>4</v>
      </c>
      <c r="B113" s="98" t="s">
        <v>83</v>
      </c>
      <c r="C113" s="80"/>
      <c r="D113" s="4" t="s">
        <v>29</v>
      </c>
    </row>
    <row r="114" spans="1:4" ht="12.75" customHeight="1" x14ac:dyDescent="0.2">
      <c r="A114" s="1" t="s">
        <v>98</v>
      </c>
      <c r="B114" s="101" t="s">
        <v>116</v>
      </c>
      <c r="C114" s="80"/>
      <c r="D114" s="6">
        <f>D105</f>
        <v>283.62875729806382</v>
      </c>
    </row>
    <row r="115" spans="1:4" ht="16.5" customHeight="1" x14ac:dyDescent="0.2">
      <c r="A115" s="1" t="s">
        <v>111</v>
      </c>
      <c r="B115" s="101" t="s">
        <v>112</v>
      </c>
      <c r="C115" s="80"/>
      <c r="D115" s="6">
        <f>D110</f>
        <v>0</v>
      </c>
    </row>
    <row r="116" spans="1:4" ht="16.5" customHeight="1" x14ac:dyDescent="0.2">
      <c r="A116" s="98" t="s">
        <v>84</v>
      </c>
      <c r="B116" s="79"/>
      <c r="C116" s="80"/>
      <c r="D116" s="8">
        <f>D114+D115</f>
        <v>283.62875729806382</v>
      </c>
    </row>
    <row r="117" spans="1:4" ht="12.75" customHeight="1" x14ac:dyDescent="0.2">
      <c r="A117" s="105"/>
      <c r="B117" s="79"/>
      <c r="C117" s="79"/>
      <c r="D117" s="80"/>
    </row>
    <row r="118" spans="1:4" ht="16.5" customHeight="1" x14ac:dyDescent="0.2">
      <c r="A118" s="102" t="s">
        <v>117</v>
      </c>
      <c r="B118" s="79"/>
      <c r="C118" s="79"/>
      <c r="D118" s="80"/>
    </row>
    <row r="119" spans="1:4" ht="12.75" customHeight="1" x14ac:dyDescent="0.2">
      <c r="A119" s="4">
        <v>5</v>
      </c>
      <c r="B119" s="98" t="s">
        <v>118</v>
      </c>
      <c r="C119" s="80"/>
      <c r="D119" s="4" t="s">
        <v>29</v>
      </c>
    </row>
    <row r="120" spans="1:4" ht="12.75" x14ac:dyDescent="0.2">
      <c r="A120" s="1" t="s">
        <v>5</v>
      </c>
      <c r="B120" s="106" t="s">
        <v>261</v>
      </c>
      <c r="C120" s="80"/>
      <c r="D120" s="6">
        <f>'EPI E UNIFORMES'!$F$12</f>
        <v>32.770000000000003</v>
      </c>
    </row>
    <row r="121" spans="1:4" ht="38.25" customHeight="1" x14ac:dyDescent="0.2">
      <c r="A121" s="1" t="s">
        <v>7</v>
      </c>
      <c r="B121" s="106" t="s">
        <v>262</v>
      </c>
      <c r="C121" s="80"/>
      <c r="D121" s="6">
        <f>'EPI E UNIFORMES'!$F$22</f>
        <v>34.880000000000003</v>
      </c>
    </row>
    <row r="122" spans="1:4" ht="38.25" customHeight="1" x14ac:dyDescent="0.2">
      <c r="A122" s="1" t="s">
        <v>10</v>
      </c>
      <c r="B122" s="106" t="s">
        <v>263</v>
      </c>
      <c r="C122" s="80"/>
      <c r="D122" s="6">
        <f>INSUMOS!$H$82</f>
        <v>739.04</v>
      </c>
    </row>
    <row r="123" spans="1:4" ht="40.5" customHeight="1" x14ac:dyDescent="0.2">
      <c r="A123" s="1" t="s">
        <v>13</v>
      </c>
      <c r="B123" s="106" t="s">
        <v>264</v>
      </c>
      <c r="C123" s="80"/>
      <c r="D123" s="6">
        <f>EQUIPAMENTOS!$J$26</f>
        <v>48.34</v>
      </c>
    </row>
    <row r="124" spans="1:4" ht="16.5" customHeight="1" x14ac:dyDescent="0.2">
      <c r="A124" s="1" t="s">
        <v>34</v>
      </c>
      <c r="B124" s="106" t="s">
        <v>123</v>
      </c>
      <c r="C124" s="80"/>
      <c r="D124" s="5">
        <v>0</v>
      </c>
    </row>
    <row r="125" spans="1:4" ht="16.5" customHeight="1" x14ac:dyDescent="0.2">
      <c r="A125" s="98" t="s">
        <v>124</v>
      </c>
      <c r="B125" s="79"/>
      <c r="C125" s="80"/>
      <c r="D125" s="8">
        <f>SUM(D120:D124)</f>
        <v>855.03</v>
      </c>
    </row>
    <row r="126" spans="1:4" ht="12.75" customHeight="1" x14ac:dyDescent="0.2">
      <c r="A126" s="105"/>
      <c r="B126" s="79"/>
      <c r="C126" s="79"/>
      <c r="D126" s="80"/>
    </row>
    <row r="127" spans="1:4" ht="16.5" customHeight="1" x14ac:dyDescent="0.2">
      <c r="A127" s="102" t="s">
        <v>125</v>
      </c>
      <c r="B127" s="79"/>
      <c r="C127" s="79"/>
      <c r="D127" s="80"/>
    </row>
    <row r="128" spans="1:4" ht="12.75" customHeight="1" x14ac:dyDescent="0.2">
      <c r="A128" s="4">
        <v>6</v>
      </c>
      <c r="B128" s="12" t="s">
        <v>126</v>
      </c>
      <c r="C128" s="4" t="s">
        <v>127</v>
      </c>
      <c r="D128" s="10" t="s">
        <v>29</v>
      </c>
    </row>
    <row r="129" spans="1:4" ht="12.75" customHeight="1" x14ac:dyDescent="0.2">
      <c r="A129" s="1" t="s">
        <v>5</v>
      </c>
      <c r="B129" s="9" t="s">
        <v>128</v>
      </c>
      <c r="C129" s="18">
        <f>BDI!H5</f>
        <v>3.6740000000000002E-2</v>
      </c>
      <c r="D129" s="6">
        <f>D150*C129</f>
        <v>164.45006755958588</v>
      </c>
    </row>
    <row r="130" spans="1:4" ht="44.25" customHeight="1" x14ac:dyDescent="0.2">
      <c r="A130" s="101" t="s">
        <v>129</v>
      </c>
      <c r="B130" s="79"/>
      <c r="C130" s="79"/>
      <c r="D130" s="80"/>
    </row>
    <row r="131" spans="1:4" ht="12.75" customHeight="1" x14ac:dyDescent="0.2">
      <c r="A131" s="1" t="s">
        <v>7</v>
      </c>
      <c r="B131" s="9" t="s">
        <v>130</v>
      </c>
      <c r="C131" s="18">
        <f>BDI!H6</f>
        <v>3.0520000000000002E-2</v>
      </c>
      <c r="D131" s="6">
        <f>(D150+D129)*C131</f>
        <v>141.62805421974545</v>
      </c>
    </row>
    <row r="132" spans="1:4" ht="42.75" customHeight="1" x14ac:dyDescent="0.2">
      <c r="A132" s="101" t="s">
        <v>131</v>
      </c>
      <c r="B132" s="79"/>
      <c r="C132" s="79"/>
      <c r="D132" s="80"/>
    </row>
    <row r="133" spans="1:4" ht="12.75" customHeight="1" x14ac:dyDescent="0.2">
      <c r="A133" s="1" t="s">
        <v>10</v>
      </c>
      <c r="B133" s="9" t="s">
        <v>132</v>
      </c>
      <c r="C133" s="13"/>
      <c r="D133" s="1"/>
    </row>
    <row r="134" spans="1:4" ht="41.25" customHeight="1" x14ac:dyDescent="0.2">
      <c r="A134" s="101" t="s">
        <v>133</v>
      </c>
      <c r="B134" s="79"/>
      <c r="C134" s="79"/>
      <c r="D134" s="80"/>
    </row>
    <row r="135" spans="1:4" ht="12.75" customHeight="1" x14ac:dyDescent="0.2">
      <c r="A135" s="110"/>
      <c r="B135" s="9" t="s">
        <v>134</v>
      </c>
      <c r="C135" s="13"/>
      <c r="D135" s="1"/>
    </row>
    <row r="136" spans="1:4" ht="12.75" customHeight="1" x14ac:dyDescent="0.2">
      <c r="A136" s="111"/>
      <c r="B136" s="9" t="s">
        <v>135</v>
      </c>
      <c r="C136" s="13">
        <v>1.6500000000000001E-2</v>
      </c>
      <c r="D136" s="6">
        <f t="shared" ref="D136:D137" si="2">($D$129+$D$131+$D$150)/(1-($C$136+$C$137+$C$139))*C136</f>
        <v>92.017620722626262</v>
      </c>
    </row>
    <row r="137" spans="1:4" ht="12.75" customHeight="1" x14ac:dyDescent="0.2">
      <c r="A137" s="111"/>
      <c r="B137" s="9" t="s">
        <v>136</v>
      </c>
      <c r="C137" s="13">
        <v>7.5999999999999998E-2</v>
      </c>
      <c r="D137" s="6">
        <f t="shared" si="2"/>
        <v>423.83873787391485</v>
      </c>
    </row>
    <row r="138" spans="1:4" ht="12.75" customHeight="1" x14ac:dyDescent="0.2">
      <c r="A138" s="111"/>
      <c r="B138" s="9" t="s">
        <v>137</v>
      </c>
      <c r="C138" s="13"/>
      <c r="D138" s="1"/>
    </row>
    <row r="139" spans="1:4" ht="12.75" customHeight="1" x14ac:dyDescent="0.2">
      <c r="A139" s="111"/>
      <c r="B139" s="9" t="s">
        <v>138</v>
      </c>
      <c r="C139" s="107">
        <v>0.05</v>
      </c>
      <c r="D139" s="109">
        <f>($D$129+$D$131+$D$150)/(1-($C$136+$C$137+$C$139))*C139</f>
        <v>278.84127491704925</v>
      </c>
    </row>
    <row r="140" spans="1:4" ht="12.75" customHeight="1" x14ac:dyDescent="0.2">
      <c r="A140" s="108"/>
      <c r="B140" s="9" t="s">
        <v>139</v>
      </c>
      <c r="C140" s="108"/>
      <c r="D140" s="108"/>
    </row>
    <row r="141" spans="1:4" ht="12.75" customHeight="1" x14ac:dyDescent="0.2">
      <c r="A141" s="98" t="s">
        <v>140</v>
      </c>
      <c r="B141" s="79"/>
      <c r="C141" s="80"/>
      <c r="D141" s="19">
        <f>SUM(D129:D139)</f>
        <v>1100.7757552929218</v>
      </c>
    </row>
    <row r="142" spans="1:4" ht="26.25" customHeight="1" x14ac:dyDescent="0.2">
      <c r="A142" s="113" t="s">
        <v>141</v>
      </c>
      <c r="B142" s="79"/>
      <c r="C142" s="79"/>
      <c r="D142" s="80"/>
    </row>
    <row r="143" spans="1:4" ht="12.75" customHeight="1" x14ac:dyDescent="0.2">
      <c r="A143" s="100" t="s">
        <v>142</v>
      </c>
      <c r="B143" s="79"/>
      <c r="C143" s="79"/>
      <c r="D143" s="80"/>
    </row>
    <row r="144" spans="1:4" ht="12.75" customHeight="1" x14ac:dyDescent="0.2">
      <c r="A144" s="20"/>
      <c r="B144" s="98" t="s">
        <v>143</v>
      </c>
      <c r="C144" s="80"/>
      <c r="D144" s="7" t="s">
        <v>144</v>
      </c>
    </row>
    <row r="145" spans="1:4" ht="12.75" customHeight="1" x14ac:dyDescent="0.2">
      <c r="A145" s="1" t="s">
        <v>5</v>
      </c>
      <c r="B145" s="101" t="s">
        <v>145</v>
      </c>
      <c r="C145" s="80"/>
      <c r="D145" s="6">
        <f>D39</f>
        <v>1684.25</v>
      </c>
    </row>
    <row r="146" spans="1:4" ht="12.75" customHeight="1" x14ac:dyDescent="0.2">
      <c r="A146" s="1" t="s">
        <v>7</v>
      </c>
      <c r="B146" s="101" t="s">
        <v>146</v>
      </c>
      <c r="C146" s="80"/>
      <c r="D146" s="6">
        <f>D79</f>
        <v>1529.9017046500001</v>
      </c>
    </row>
    <row r="147" spans="1:4" ht="26.25" customHeight="1" x14ac:dyDescent="0.2">
      <c r="A147" s="1" t="s">
        <v>10</v>
      </c>
      <c r="B147" s="101" t="s">
        <v>147</v>
      </c>
      <c r="C147" s="80"/>
      <c r="D147" s="6">
        <f>D89</f>
        <v>123.2392811</v>
      </c>
    </row>
    <row r="148" spans="1:4" ht="16.5" customHeight="1" x14ac:dyDescent="0.2">
      <c r="A148" s="1" t="s">
        <v>13</v>
      </c>
      <c r="B148" s="101" t="s">
        <v>148</v>
      </c>
      <c r="C148" s="80"/>
      <c r="D148" s="6">
        <f>D116</f>
        <v>283.62875729806382</v>
      </c>
    </row>
    <row r="149" spans="1:4" ht="16.5" customHeight="1" x14ac:dyDescent="0.2">
      <c r="A149" s="1" t="s">
        <v>34</v>
      </c>
      <c r="B149" s="101" t="s">
        <v>149</v>
      </c>
      <c r="C149" s="80"/>
      <c r="D149" s="6">
        <f>D125</f>
        <v>855.03</v>
      </c>
    </row>
    <row r="150" spans="1:4" ht="16.5" customHeight="1" x14ac:dyDescent="0.2">
      <c r="A150" s="104" t="s">
        <v>150</v>
      </c>
      <c r="B150" s="79"/>
      <c r="C150" s="80"/>
      <c r="D150" s="11">
        <f>SUM(D145:D149)</f>
        <v>4476.0497430480636</v>
      </c>
    </row>
    <row r="151" spans="1:4" ht="16.5" customHeight="1" x14ac:dyDescent="0.2">
      <c r="A151" s="1" t="s">
        <v>36</v>
      </c>
      <c r="B151" s="101" t="s">
        <v>151</v>
      </c>
      <c r="C151" s="80"/>
      <c r="D151" s="6">
        <f>D141</f>
        <v>1100.7757552929218</v>
      </c>
    </row>
    <row r="152" spans="1:4" ht="16.5" customHeight="1" x14ac:dyDescent="0.2">
      <c r="A152" s="1" t="s">
        <v>38</v>
      </c>
      <c r="B152" s="101" t="s">
        <v>152</v>
      </c>
      <c r="C152" s="80"/>
      <c r="D152" s="6">
        <v>0</v>
      </c>
    </row>
    <row r="153" spans="1:4" ht="16.5" customHeight="1" x14ac:dyDescent="0.2">
      <c r="A153" s="112" t="s">
        <v>153</v>
      </c>
      <c r="B153" s="79"/>
      <c r="C153" s="80"/>
      <c r="D153" s="21">
        <f>SUM(D151+D150+D152)</f>
        <v>5576.8254983409852</v>
      </c>
    </row>
  </sheetData>
  <mergeCells count="127">
    <mergeCell ref="A111:D111"/>
    <mergeCell ref="A112:D112"/>
    <mergeCell ref="B113:C113"/>
    <mergeCell ref="B114:C114"/>
    <mergeCell ref="B115:C115"/>
    <mergeCell ref="A116:C116"/>
    <mergeCell ref="A117:D117"/>
    <mergeCell ref="B99:C99"/>
    <mergeCell ref="B100:C100"/>
    <mergeCell ref="B101:C101"/>
    <mergeCell ref="A105:C105"/>
    <mergeCell ref="A106:D106"/>
    <mergeCell ref="A107:D107"/>
    <mergeCell ref="B108:C108"/>
    <mergeCell ref="B109:C109"/>
    <mergeCell ref="A110:C110"/>
    <mergeCell ref="A90:D90"/>
    <mergeCell ref="A91:D91"/>
    <mergeCell ref="A92:D92"/>
    <mergeCell ref="A93:C93"/>
    <mergeCell ref="A94:D94"/>
    <mergeCell ref="B95:C95"/>
    <mergeCell ref="B96:C96"/>
    <mergeCell ref="B97:C97"/>
    <mergeCell ref="B98:C98"/>
    <mergeCell ref="A79:C79"/>
    <mergeCell ref="A80:D80"/>
    <mergeCell ref="A81:D81"/>
    <mergeCell ref="B82:C82"/>
    <mergeCell ref="B83:C83"/>
    <mergeCell ref="B84:C84"/>
    <mergeCell ref="B86:C86"/>
    <mergeCell ref="B87:C87"/>
    <mergeCell ref="A89:C89"/>
    <mergeCell ref="B148:C148"/>
    <mergeCell ref="B149:C149"/>
    <mergeCell ref="A150:C150"/>
    <mergeCell ref="B151:C151"/>
    <mergeCell ref="B152:C152"/>
    <mergeCell ref="A153:C153"/>
    <mergeCell ref="A141:C141"/>
    <mergeCell ref="A142:D142"/>
    <mergeCell ref="A143:D143"/>
    <mergeCell ref="B144:C144"/>
    <mergeCell ref="B145:C145"/>
    <mergeCell ref="B146:C146"/>
    <mergeCell ref="B147:C147"/>
    <mergeCell ref="B123:C123"/>
    <mergeCell ref="B124:C124"/>
    <mergeCell ref="C139:C140"/>
    <mergeCell ref="D139:D140"/>
    <mergeCell ref="A125:C125"/>
    <mergeCell ref="A126:D126"/>
    <mergeCell ref="A127:D127"/>
    <mergeCell ref="A130:D130"/>
    <mergeCell ref="A132:D132"/>
    <mergeCell ref="A134:D134"/>
    <mergeCell ref="A135:A140"/>
    <mergeCell ref="A50:D50"/>
    <mergeCell ref="A51:D51"/>
    <mergeCell ref="A62:D62"/>
    <mergeCell ref="A63:D63"/>
    <mergeCell ref="A118:D118"/>
    <mergeCell ref="B119:C119"/>
    <mergeCell ref="B120:C120"/>
    <mergeCell ref="B121:C121"/>
    <mergeCell ref="B122:C122"/>
    <mergeCell ref="B64:C64"/>
    <mergeCell ref="B65:C65"/>
    <mergeCell ref="B66:C66"/>
    <mergeCell ref="B67:C67"/>
    <mergeCell ref="B68:C68"/>
    <mergeCell ref="B69:C69"/>
    <mergeCell ref="B70:C70"/>
    <mergeCell ref="B71:C71"/>
    <mergeCell ref="A72:C72"/>
    <mergeCell ref="A73:D73"/>
    <mergeCell ref="A74:D74"/>
    <mergeCell ref="B75:C75"/>
    <mergeCell ref="B76:C76"/>
    <mergeCell ref="B77:C77"/>
    <mergeCell ref="B78:C78"/>
    <mergeCell ref="B38:C38"/>
    <mergeCell ref="B39:C39"/>
    <mergeCell ref="A40:D40"/>
    <mergeCell ref="A41:D41"/>
    <mergeCell ref="A42:D42"/>
    <mergeCell ref="A43:D43"/>
    <mergeCell ref="B44:C44"/>
    <mergeCell ref="A47:C47"/>
    <mergeCell ref="A49:C49"/>
    <mergeCell ref="B29:C29"/>
    <mergeCell ref="B30:C30"/>
    <mergeCell ref="B31:C31"/>
    <mergeCell ref="B32:C32"/>
    <mergeCell ref="B33:C33"/>
    <mergeCell ref="B34:C34"/>
    <mergeCell ref="B35:C35"/>
    <mergeCell ref="B36:C36"/>
    <mergeCell ref="B37:C37"/>
    <mergeCell ref="A20:D20"/>
    <mergeCell ref="A21:D21"/>
    <mergeCell ref="B22:C22"/>
    <mergeCell ref="B23:C23"/>
    <mergeCell ref="B24:C24"/>
    <mergeCell ref="B25:C25"/>
    <mergeCell ref="B26:C26"/>
    <mergeCell ref="A27:D27"/>
    <mergeCell ref="A28:D28"/>
    <mergeCell ref="B11:C11"/>
    <mergeCell ref="B12:C12"/>
    <mergeCell ref="B13:C13"/>
    <mergeCell ref="A14:D14"/>
    <mergeCell ref="A15:D15"/>
    <mergeCell ref="A16:D16"/>
    <mergeCell ref="A17:D17"/>
    <mergeCell ref="A18:D18"/>
    <mergeCell ref="A19:D19"/>
    <mergeCell ref="A1:D1"/>
    <mergeCell ref="A2:D2"/>
    <mergeCell ref="A3:D3"/>
    <mergeCell ref="A8:D8"/>
    <mergeCell ref="A4:D4"/>
    <mergeCell ref="A5:D5"/>
    <mergeCell ref="A6:D7"/>
    <mergeCell ref="A9:D9"/>
    <mergeCell ref="B10:C10"/>
  </mergeCells>
  <pageMargins left="0.25" right="0.25" top="0.75" bottom="0.75" header="0" footer="0"/>
  <pageSetup paperSize="9" scale="83"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E6E6"/>
    <pageSetUpPr fitToPage="1"/>
  </sheetPr>
  <dimension ref="A1:H6"/>
  <sheetViews>
    <sheetView showGridLines="0" workbookViewId="0"/>
  </sheetViews>
  <sheetFormatPr defaultColWidth="14.42578125" defaultRowHeight="15" customHeight="1" x14ac:dyDescent="0.2"/>
  <cols>
    <col min="1" max="1" width="27.42578125" customWidth="1"/>
    <col min="2" max="2" width="14" customWidth="1"/>
    <col min="3" max="3" width="14.140625" customWidth="1"/>
    <col min="4" max="6" width="13.85546875" customWidth="1"/>
    <col min="7" max="7" width="13.5703125" customWidth="1"/>
    <col min="8" max="8" width="12" customWidth="1"/>
  </cols>
  <sheetData>
    <row r="1" spans="1:8" ht="22.5" customHeight="1" x14ac:dyDescent="0.2">
      <c r="A1" s="99" t="s">
        <v>265</v>
      </c>
      <c r="B1" s="79"/>
      <c r="C1" s="79"/>
      <c r="D1" s="79"/>
      <c r="E1" s="79"/>
      <c r="F1" s="79"/>
      <c r="G1" s="79"/>
      <c r="H1" s="80"/>
    </row>
    <row r="2" spans="1:8" ht="30" customHeight="1" x14ac:dyDescent="0.2">
      <c r="A2" s="22"/>
      <c r="B2" s="23"/>
      <c r="C2" s="22"/>
      <c r="D2" s="22"/>
      <c r="E2" s="22"/>
      <c r="F2" s="22"/>
      <c r="G2" s="22"/>
      <c r="H2" s="22"/>
    </row>
    <row r="3" spans="1:8" ht="12.75" customHeight="1" x14ac:dyDescent="0.2">
      <c r="A3" s="22"/>
      <c r="B3" s="116" t="s">
        <v>266</v>
      </c>
      <c r="C3" s="79"/>
      <c r="D3" s="79"/>
      <c r="E3" s="79"/>
      <c r="F3" s="80"/>
      <c r="G3" s="24" t="s">
        <v>267</v>
      </c>
      <c r="H3" s="22"/>
    </row>
    <row r="4" spans="1:8" ht="51" x14ac:dyDescent="0.2">
      <c r="A4" s="25" t="s">
        <v>268</v>
      </c>
      <c r="B4" s="25" t="s">
        <v>269</v>
      </c>
      <c r="C4" s="25" t="s">
        <v>270</v>
      </c>
      <c r="D4" s="25" t="s">
        <v>271</v>
      </c>
      <c r="E4" s="25" t="s">
        <v>272</v>
      </c>
      <c r="F4" s="25" t="s">
        <v>273</v>
      </c>
      <c r="G4" s="26" t="s">
        <v>274</v>
      </c>
      <c r="H4" s="25" t="s">
        <v>275</v>
      </c>
    </row>
    <row r="5" spans="1:8" ht="12.75" customHeight="1" x14ac:dyDescent="0.2">
      <c r="A5" s="27" t="s">
        <v>276</v>
      </c>
      <c r="B5" s="28">
        <v>5.0000000000000001E-3</v>
      </c>
      <c r="C5" s="28">
        <v>0.06</v>
      </c>
      <c r="D5" s="28">
        <v>8.9200000000000002E-2</v>
      </c>
      <c r="E5" s="29">
        <v>1.49E-2</v>
      </c>
      <c r="F5" s="29">
        <v>1.46E-2</v>
      </c>
      <c r="G5" s="29">
        <v>0.05</v>
      </c>
      <c r="H5" s="30">
        <f t="shared" ref="H5:H6" si="0">AVERAGE(B5:F5)</f>
        <v>3.6740000000000002E-2</v>
      </c>
    </row>
    <row r="6" spans="1:8" ht="12.75" customHeight="1" x14ac:dyDescent="0.2">
      <c r="A6" s="27" t="s">
        <v>277</v>
      </c>
      <c r="B6" s="28">
        <v>6.4999999999999997E-3</v>
      </c>
      <c r="C6" s="28">
        <v>3.4099999999999998E-2</v>
      </c>
      <c r="D6" s="28">
        <v>0.08</v>
      </c>
      <c r="E6" s="29">
        <v>1.6E-2</v>
      </c>
      <c r="F6" s="29">
        <v>1.6E-2</v>
      </c>
      <c r="G6" s="29">
        <v>8.3799999999999999E-2</v>
      </c>
      <c r="H6" s="30">
        <f t="shared" si="0"/>
        <v>3.0520000000000002E-2</v>
      </c>
    </row>
  </sheetData>
  <mergeCells count="2">
    <mergeCell ref="A1:H1"/>
    <mergeCell ref="B3:F3"/>
  </mergeCells>
  <printOptions horizontalCentered="1"/>
  <pageMargins left="0.25" right="0.25" top="0.75" bottom="0.75" header="0" footer="0"/>
  <pageSetup paperSize="9"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E6E6"/>
    <pageSetUpPr fitToPage="1"/>
  </sheetPr>
  <dimension ref="A1:F43"/>
  <sheetViews>
    <sheetView showGridLines="0" workbookViewId="0"/>
  </sheetViews>
  <sheetFormatPr defaultColWidth="14.42578125" defaultRowHeight="15" customHeight="1" x14ac:dyDescent="0.2"/>
  <cols>
    <col min="1" max="1" width="9.140625" customWidth="1"/>
    <col min="2" max="2" width="62.7109375" customWidth="1"/>
    <col min="3" max="3" width="11.140625" customWidth="1"/>
    <col min="4" max="4" width="14.5703125" customWidth="1"/>
    <col min="5" max="5" width="20.5703125" customWidth="1"/>
    <col min="6" max="6" width="14.7109375" customWidth="1"/>
  </cols>
  <sheetData>
    <row r="1" spans="1:6" ht="22.5" customHeight="1" x14ac:dyDescent="0.2">
      <c r="A1" s="99" t="s">
        <v>278</v>
      </c>
      <c r="B1" s="79"/>
      <c r="C1" s="79"/>
      <c r="D1" s="79"/>
      <c r="E1" s="79"/>
      <c r="F1" s="80"/>
    </row>
    <row r="2" spans="1:6" ht="12.75" x14ac:dyDescent="0.2">
      <c r="A2" s="31"/>
      <c r="B2" s="31"/>
      <c r="C2" s="31"/>
      <c r="D2" s="31"/>
      <c r="E2" s="31"/>
      <c r="F2" s="31"/>
    </row>
    <row r="3" spans="1:6" ht="18" customHeight="1" x14ac:dyDescent="0.2">
      <c r="A3" s="117" t="s">
        <v>279</v>
      </c>
      <c r="B3" s="79"/>
      <c r="C3" s="79"/>
      <c r="D3" s="79"/>
      <c r="E3" s="79"/>
      <c r="F3" s="80"/>
    </row>
    <row r="4" spans="1:6" ht="12.75" customHeight="1" x14ac:dyDescent="0.2">
      <c r="A4" s="118" t="s">
        <v>280</v>
      </c>
      <c r="B4" s="119"/>
      <c r="C4" s="119"/>
      <c r="D4" s="119"/>
      <c r="E4" s="119"/>
      <c r="F4" s="120"/>
    </row>
    <row r="5" spans="1:6" ht="39.75" customHeight="1" x14ac:dyDescent="0.2">
      <c r="A5" s="25" t="s">
        <v>281</v>
      </c>
      <c r="B5" s="25" t="s">
        <v>282</v>
      </c>
      <c r="C5" s="25" t="s">
        <v>283</v>
      </c>
      <c r="D5" s="25" t="s">
        <v>284</v>
      </c>
      <c r="E5" s="25" t="s">
        <v>285</v>
      </c>
      <c r="F5" s="25" t="s">
        <v>286</v>
      </c>
    </row>
    <row r="6" spans="1:6" ht="29.25" customHeight="1" x14ac:dyDescent="0.2">
      <c r="A6" s="32">
        <v>1</v>
      </c>
      <c r="B6" s="33" t="s">
        <v>287</v>
      </c>
      <c r="C6" s="1" t="s">
        <v>288</v>
      </c>
      <c r="D6" s="34">
        <v>4</v>
      </c>
      <c r="E6" s="35">
        <v>16.45</v>
      </c>
      <c r="F6" s="35">
        <f t="shared" ref="F6:F9" si="0">TRUNC(D6*E6,2)</f>
        <v>65.8</v>
      </c>
    </row>
    <row r="7" spans="1:6" ht="29.25" customHeight="1" x14ac:dyDescent="0.2">
      <c r="A7" s="32">
        <v>2</v>
      </c>
      <c r="B7" s="33" t="s">
        <v>289</v>
      </c>
      <c r="C7" s="1" t="s">
        <v>288</v>
      </c>
      <c r="D7" s="1">
        <v>2</v>
      </c>
      <c r="E7" s="35">
        <v>21.15</v>
      </c>
      <c r="F7" s="35">
        <f t="shared" si="0"/>
        <v>42.3</v>
      </c>
    </row>
    <row r="8" spans="1:6" ht="29.25" customHeight="1" x14ac:dyDescent="0.2">
      <c r="A8" s="32">
        <v>3</v>
      </c>
      <c r="B8" s="33" t="s">
        <v>290</v>
      </c>
      <c r="C8" s="1" t="s">
        <v>288</v>
      </c>
      <c r="D8" s="34">
        <v>4</v>
      </c>
      <c r="E8" s="35">
        <v>35.15</v>
      </c>
      <c r="F8" s="35">
        <f t="shared" si="0"/>
        <v>140.6</v>
      </c>
    </row>
    <row r="9" spans="1:6" ht="29.25" customHeight="1" x14ac:dyDescent="0.2">
      <c r="A9" s="32">
        <v>4</v>
      </c>
      <c r="B9" s="33" t="s">
        <v>291</v>
      </c>
      <c r="C9" s="1" t="s">
        <v>292</v>
      </c>
      <c r="D9" s="34">
        <v>24</v>
      </c>
      <c r="E9" s="35">
        <v>7.7</v>
      </c>
      <c r="F9" s="35">
        <f t="shared" si="0"/>
        <v>184.8</v>
      </c>
    </row>
    <row r="10" spans="1:6" ht="12.75" x14ac:dyDescent="0.2">
      <c r="A10" s="121" t="s">
        <v>293</v>
      </c>
      <c r="B10" s="79"/>
      <c r="C10" s="79"/>
      <c r="D10" s="79"/>
      <c r="E10" s="79"/>
      <c r="F10" s="36">
        <f>TRUNC(SUM(F5:F9),2)</f>
        <v>433.5</v>
      </c>
    </row>
    <row r="11" spans="1:6" ht="12.75" customHeight="1" x14ac:dyDescent="0.2">
      <c r="A11" s="121" t="s">
        <v>294</v>
      </c>
      <c r="B11" s="79"/>
      <c r="C11" s="79"/>
      <c r="D11" s="79"/>
      <c r="E11" s="79"/>
      <c r="F11" s="36">
        <f>TRUNC(F10/12,2)</f>
        <v>36.119999999999997</v>
      </c>
    </row>
    <row r="12" spans="1:6" ht="12.75" customHeight="1" x14ac:dyDescent="0.2">
      <c r="A12" s="122" t="s">
        <v>295</v>
      </c>
      <c r="B12" s="79"/>
      <c r="C12" s="79"/>
      <c r="D12" s="79"/>
      <c r="E12" s="79"/>
      <c r="F12" s="37">
        <f>TRUNC(F11-(0.0925*F11),2)</f>
        <v>32.770000000000003</v>
      </c>
    </row>
    <row r="13" spans="1:6" ht="12.75" customHeight="1" x14ac:dyDescent="0.2">
      <c r="A13" s="123"/>
      <c r="B13" s="124"/>
      <c r="C13" s="124"/>
      <c r="D13" s="124"/>
      <c r="E13" s="124"/>
      <c r="F13" s="125"/>
    </row>
    <row r="14" spans="1:6" ht="12.75" x14ac:dyDescent="0.2">
      <c r="A14" s="126" t="s">
        <v>296</v>
      </c>
      <c r="B14" s="127"/>
      <c r="C14" s="127"/>
      <c r="D14" s="127"/>
      <c r="E14" s="127"/>
      <c r="F14" s="127"/>
    </row>
    <row r="15" spans="1:6" ht="40.5" customHeight="1" x14ac:dyDescent="0.2">
      <c r="A15" s="25" t="s">
        <v>281</v>
      </c>
      <c r="B15" s="25" t="s">
        <v>282</v>
      </c>
      <c r="C15" s="25" t="s">
        <v>283</v>
      </c>
      <c r="D15" s="25" t="s">
        <v>284</v>
      </c>
      <c r="E15" s="25" t="s">
        <v>285</v>
      </c>
      <c r="F15" s="25" t="s">
        <v>286</v>
      </c>
    </row>
    <row r="16" spans="1:6" ht="38.25" x14ac:dyDescent="0.2">
      <c r="A16" s="32">
        <v>5</v>
      </c>
      <c r="B16" s="33" t="s">
        <v>297</v>
      </c>
      <c r="C16" s="1" t="s">
        <v>288</v>
      </c>
      <c r="D16" s="1">
        <v>2</v>
      </c>
      <c r="E16" s="35">
        <v>46.18</v>
      </c>
      <c r="F16" s="35">
        <f t="shared" ref="F16:F19" si="1">TRUNC(D16*E16,2)</f>
        <v>92.36</v>
      </c>
    </row>
    <row r="17" spans="1:6" ht="12.75" x14ac:dyDescent="0.2">
      <c r="A17" s="32">
        <v>6</v>
      </c>
      <c r="B17" s="38" t="s">
        <v>298</v>
      </c>
      <c r="C17" s="1" t="s">
        <v>292</v>
      </c>
      <c r="D17" s="1">
        <v>24</v>
      </c>
      <c r="E17" s="35">
        <v>9.7100000000000009</v>
      </c>
      <c r="F17" s="35">
        <f t="shared" si="1"/>
        <v>233.04</v>
      </c>
    </row>
    <row r="18" spans="1:6" ht="12.75" x14ac:dyDescent="0.2">
      <c r="A18" s="32">
        <v>7</v>
      </c>
      <c r="B18" s="38" t="s">
        <v>299</v>
      </c>
      <c r="C18" s="1" t="s">
        <v>288</v>
      </c>
      <c r="D18" s="1">
        <v>12</v>
      </c>
      <c r="E18" s="35">
        <v>4.01</v>
      </c>
      <c r="F18" s="35">
        <f t="shared" si="1"/>
        <v>48.12</v>
      </c>
    </row>
    <row r="19" spans="1:6" ht="51" x14ac:dyDescent="0.2">
      <c r="A19" s="32">
        <v>8</v>
      </c>
      <c r="B19" s="39" t="s">
        <v>300</v>
      </c>
      <c r="C19" s="1" t="s">
        <v>288</v>
      </c>
      <c r="D19" s="1">
        <v>2</v>
      </c>
      <c r="E19" s="35">
        <v>43.9</v>
      </c>
      <c r="F19" s="35">
        <f t="shared" si="1"/>
        <v>87.8</v>
      </c>
    </row>
    <row r="20" spans="1:6" ht="12.75" customHeight="1" x14ac:dyDescent="0.2">
      <c r="A20" s="121" t="s">
        <v>293</v>
      </c>
      <c r="B20" s="79"/>
      <c r="C20" s="79"/>
      <c r="D20" s="79"/>
      <c r="E20" s="79"/>
      <c r="F20" s="36">
        <f>TRUNC(SUM(F16:F19),2)</f>
        <v>461.32</v>
      </c>
    </row>
    <row r="21" spans="1:6" ht="12.75" customHeight="1" x14ac:dyDescent="0.2">
      <c r="A21" s="121" t="s">
        <v>294</v>
      </c>
      <c r="B21" s="79"/>
      <c r="C21" s="79"/>
      <c r="D21" s="79"/>
      <c r="E21" s="79"/>
      <c r="F21" s="36">
        <f>TRUNC(F20/12,2)</f>
        <v>38.44</v>
      </c>
    </row>
    <row r="22" spans="1:6" ht="12.75" customHeight="1" x14ac:dyDescent="0.2">
      <c r="A22" s="122" t="s">
        <v>295</v>
      </c>
      <c r="B22" s="79"/>
      <c r="C22" s="79"/>
      <c r="D22" s="79"/>
      <c r="E22" s="79"/>
      <c r="F22" s="37">
        <f>TRUNC(F21-(0.0925*F21),2)</f>
        <v>34.880000000000003</v>
      </c>
    </row>
    <row r="23" spans="1:6" ht="12.75" customHeight="1" x14ac:dyDescent="0.2">
      <c r="A23" s="40"/>
      <c r="B23" s="40"/>
      <c r="C23" s="40"/>
      <c r="D23" s="40"/>
      <c r="E23" s="40"/>
      <c r="F23" s="40"/>
    </row>
    <row r="24" spans="1:6" ht="12.75" customHeight="1" x14ac:dyDescent="0.2">
      <c r="A24" s="117" t="s">
        <v>301</v>
      </c>
      <c r="B24" s="79"/>
      <c r="C24" s="79"/>
      <c r="D24" s="79"/>
      <c r="E24" s="79"/>
      <c r="F24" s="80"/>
    </row>
    <row r="25" spans="1:6" ht="12.75" customHeight="1" x14ac:dyDescent="0.2">
      <c r="A25" s="118" t="s">
        <v>280</v>
      </c>
      <c r="B25" s="119"/>
      <c r="C25" s="119"/>
      <c r="D25" s="119"/>
      <c r="E25" s="119"/>
      <c r="F25" s="120"/>
    </row>
    <row r="26" spans="1:6" ht="39" customHeight="1" x14ac:dyDescent="0.2">
      <c r="A26" s="25" t="s">
        <v>281</v>
      </c>
      <c r="B26" s="25" t="s">
        <v>282</v>
      </c>
      <c r="C26" s="25" t="s">
        <v>283</v>
      </c>
      <c r="D26" s="25" t="s">
        <v>284</v>
      </c>
      <c r="E26" s="25" t="s">
        <v>285</v>
      </c>
      <c r="F26" s="25" t="s">
        <v>286</v>
      </c>
    </row>
    <row r="27" spans="1:6" ht="27" customHeight="1" x14ac:dyDescent="0.2">
      <c r="A27" s="32">
        <v>9</v>
      </c>
      <c r="B27" s="33" t="s">
        <v>287</v>
      </c>
      <c r="C27" s="1" t="s">
        <v>288</v>
      </c>
      <c r="D27" s="34">
        <v>4</v>
      </c>
      <c r="E27" s="35">
        <f t="shared" ref="E27:E30" si="2">E6</f>
        <v>16.45</v>
      </c>
      <c r="F27" s="35">
        <f t="shared" ref="F27:F30" si="3">TRUNC(D27*E27,2)</f>
        <v>65.8</v>
      </c>
    </row>
    <row r="28" spans="1:6" ht="27" customHeight="1" x14ac:dyDescent="0.2">
      <c r="A28" s="32">
        <v>10</v>
      </c>
      <c r="B28" s="33" t="s">
        <v>289</v>
      </c>
      <c r="C28" s="1" t="s">
        <v>288</v>
      </c>
      <c r="D28" s="1">
        <v>2</v>
      </c>
      <c r="E28" s="35">
        <f t="shared" si="2"/>
        <v>21.15</v>
      </c>
      <c r="F28" s="35">
        <f t="shared" si="3"/>
        <v>42.3</v>
      </c>
    </row>
    <row r="29" spans="1:6" ht="27" customHeight="1" x14ac:dyDescent="0.2">
      <c r="A29" s="32">
        <v>11</v>
      </c>
      <c r="B29" s="33" t="s">
        <v>290</v>
      </c>
      <c r="C29" s="1" t="s">
        <v>288</v>
      </c>
      <c r="D29" s="34">
        <v>4</v>
      </c>
      <c r="E29" s="35">
        <f t="shared" si="2"/>
        <v>35.15</v>
      </c>
      <c r="F29" s="35">
        <f t="shared" si="3"/>
        <v>140.6</v>
      </c>
    </row>
    <row r="30" spans="1:6" ht="27" customHeight="1" x14ac:dyDescent="0.2">
      <c r="A30" s="32">
        <v>12</v>
      </c>
      <c r="B30" s="33" t="s">
        <v>291</v>
      </c>
      <c r="C30" s="1" t="s">
        <v>292</v>
      </c>
      <c r="D30" s="34">
        <v>24</v>
      </c>
      <c r="E30" s="35">
        <f t="shared" si="2"/>
        <v>7.7</v>
      </c>
      <c r="F30" s="35">
        <f t="shared" si="3"/>
        <v>184.8</v>
      </c>
    </row>
    <row r="31" spans="1:6" ht="12.75" customHeight="1" x14ac:dyDescent="0.2">
      <c r="A31" s="121" t="s">
        <v>293</v>
      </c>
      <c r="B31" s="79"/>
      <c r="C31" s="79"/>
      <c r="D31" s="79"/>
      <c r="E31" s="79"/>
      <c r="F31" s="36">
        <f>TRUNC(SUM(F26:F30),2)</f>
        <v>433.5</v>
      </c>
    </row>
    <row r="32" spans="1:6" ht="12.75" customHeight="1" x14ac:dyDescent="0.2">
      <c r="A32" s="121" t="s">
        <v>294</v>
      </c>
      <c r="B32" s="79"/>
      <c r="C32" s="79"/>
      <c r="D32" s="79"/>
      <c r="E32" s="79"/>
      <c r="F32" s="36">
        <f>TRUNC(F31/12,2)</f>
        <v>36.119999999999997</v>
      </c>
    </row>
    <row r="33" spans="1:6" ht="12.75" customHeight="1" x14ac:dyDescent="0.2">
      <c r="A33" s="122" t="s">
        <v>295</v>
      </c>
      <c r="B33" s="79"/>
      <c r="C33" s="79"/>
      <c r="D33" s="79"/>
      <c r="E33" s="79"/>
      <c r="F33" s="37">
        <f>TRUNC(F32-(0.0925*F32),2)</f>
        <v>32.770000000000003</v>
      </c>
    </row>
    <row r="34" spans="1:6" ht="12.75" customHeight="1" x14ac:dyDescent="0.2">
      <c r="A34" s="123"/>
      <c r="B34" s="124"/>
      <c r="C34" s="124"/>
      <c r="D34" s="124"/>
      <c r="E34" s="124"/>
      <c r="F34" s="125"/>
    </row>
    <row r="35" spans="1:6" ht="12.75" customHeight="1" x14ac:dyDescent="0.2">
      <c r="A35" s="126" t="s">
        <v>296</v>
      </c>
      <c r="B35" s="127"/>
      <c r="C35" s="127"/>
      <c r="D35" s="127"/>
      <c r="E35" s="127"/>
      <c r="F35" s="127"/>
    </row>
    <row r="36" spans="1:6" ht="37.5" customHeight="1" x14ac:dyDescent="0.2">
      <c r="A36" s="25" t="s">
        <v>281</v>
      </c>
      <c r="B36" s="25" t="s">
        <v>282</v>
      </c>
      <c r="C36" s="25" t="s">
        <v>283</v>
      </c>
      <c r="D36" s="25" t="s">
        <v>284</v>
      </c>
      <c r="E36" s="25" t="s">
        <v>285</v>
      </c>
      <c r="F36" s="25" t="s">
        <v>286</v>
      </c>
    </row>
    <row r="37" spans="1:6" ht="38.25" x14ac:dyDescent="0.2">
      <c r="A37" s="32">
        <v>13</v>
      </c>
      <c r="B37" s="33" t="s">
        <v>302</v>
      </c>
      <c r="C37" s="1" t="s">
        <v>288</v>
      </c>
      <c r="D37" s="1">
        <v>2</v>
      </c>
      <c r="E37" s="35">
        <f t="shared" ref="E37:E40" si="4">E16</f>
        <v>46.18</v>
      </c>
      <c r="F37" s="35">
        <f t="shared" ref="F37:F40" si="5">TRUNC(D37*E37,2)</f>
        <v>92.36</v>
      </c>
    </row>
    <row r="38" spans="1:6" ht="12.75" x14ac:dyDescent="0.2">
      <c r="A38" s="32">
        <v>14</v>
      </c>
      <c r="B38" s="38" t="s">
        <v>298</v>
      </c>
      <c r="C38" s="1" t="s">
        <v>292</v>
      </c>
      <c r="D38" s="1">
        <v>12</v>
      </c>
      <c r="E38" s="35">
        <f t="shared" si="4"/>
        <v>9.7100000000000009</v>
      </c>
      <c r="F38" s="35">
        <f t="shared" si="5"/>
        <v>116.52</v>
      </c>
    </row>
    <row r="39" spans="1:6" ht="12.75" x14ac:dyDescent="0.2">
      <c r="A39" s="32">
        <v>15</v>
      </c>
      <c r="B39" s="38" t="s">
        <v>299</v>
      </c>
      <c r="C39" s="1" t="s">
        <v>288</v>
      </c>
      <c r="D39" s="1">
        <v>12</v>
      </c>
      <c r="E39" s="35">
        <f t="shared" si="4"/>
        <v>4.01</v>
      </c>
      <c r="F39" s="35">
        <f t="shared" si="5"/>
        <v>48.12</v>
      </c>
    </row>
    <row r="40" spans="1:6" ht="51" x14ac:dyDescent="0.2">
      <c r="A40" s="32">
        <v>16</v>
      </c>
      <c r="B40" s="39" t="s">
        <v>300</v>
      </c>
      <c r="C40" s="1" t="s">
        <v>288</v>
      </c>
      <c r="D40" s="1">
        <v>2</v>
      </c>
      <c r="E40" s="35">
        <f t="shared" si="4"/>
        <v>43.9</v>
      </c>
      <c r="F40" s="35">
        <f t="shared" si="5"/>
        <v>87.8</v>
      </c>
    </row>
    <row r="41" spans="1:6" ht="12.75" customHeight="1" x14ac:dyDescent="0.2">
      <c r="A41" s="121" t="s">
        <v>293</v>
      </c>
      <c r="B41" s="79"/>
      <c r="C41" s="79"/>
      <c r="D41" s="79"/>
      <c r="E41" s="79"/>
      <c r="F41" s="36">
        <f>TRUNC(SUM(F37:F40),2)</f>
        <v>344.8</v>
      </c>
    </row>
    <row r="42" spans="1:6" ht="12.75" customHeight="1" x14ac:dyDescent="0.2">
      <c r="A42" s="121" t="s">
        <v>294</v>
      </c>
      <c r="B42" s="79"/>
      <c r="C42" s="79"/>
      <c r="D42" s="79"/>
      <c r="E42" s="79"/>
      <c r="F42" s="36">
        <f>TRUNC(F41/12,2)</f>
        <v>28.73</v>
      </c>
    </row>
    <row r="43" spans="1:6" ht="12.75" customHeight="1" x14ac:dyDescent="0.2">
      <c r="A43" s="122" t="s">
        <v>295</v>
      </c>
      <c r="B43" s="79"/>
      <c r="C43" s="79"/>
      <c r="D43" s="79"/>
      <c r="E43" s="79"/>
      <c r="F43" s="37">
        <f>TRUNC(F42-(0.0925*F42),2)</f>
        <v>26.07</v>
      </c>
    </row>
  </sheetData>
  <mergeCells count="21">
    <mergeCell ref="A35:F35"/>
    <mergeCell ref="A41:E41"/>
    <mergeCell ref="A42:E42"/>
    <mergeCell ref="A43:E43"/>
    <mergeCell ref="A14:F14"/>
    <mergeCell ref="A20:E20"/>
    <mergeCell ref="A21:E21"/>
    <mergeCell ref="A22:E22"/>
    <mergeCell ref="A24:F24"/>
    <mergeCell ref="A25:F25"/>
    <mergeCell ref="A31:E31"/>
    <mergeCell ref="A12:E12"/>
    <mergeCell ref="A13:F13"/>
    <mergeCell ref="A32:E32"/>
    <mergeCell ref="A33:E33"/>
    <mergeCell ref="A34:F34"/>
    <mergeCell ref="A1:F1"/>
    <mergeCell ref="A3:F3"/>
    <mergeCell ref="A4:F4"/>
    <mergeCell ref="A10:E10"/>
    <mergeCell ref="A11:E11"/>
  </mergeCells>
  <pageMargins left="0.78749999999999998" right="0.39374999999999999" top="0.39374999999999999" bottom="0.39374999999999999" header="0" footer="0"/>
  <pageSetup paperSize="9"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E6E6"/>
    <pageSetUpPr fitToPage="1"/>
  </sheetPr>
  <dimension ref="A1:H82"/>
  <sheetViews>
    <sheetView showGridLines="0" workbookViewId="0"/>
  </sheetViews>
  <sheetFormatPr defaultColWidth="14.42578125" defaultRowHeight="15" customHeight="1" x14ac:dyDescent="0.2"/>
  <cols>
    <col min="1" max="1" width="9.140625" customWidth="1"/>
    <col min="2" max="2" width="45.85546875" customWidth="1"/>
    <col min="3" max="3" width="12.7109375" customWidth="1"/>
    <col min="4" max="4" width="16.42578125" customWidth="1"/>
    <col min="5" max="6" width="13.42578125" customWidth="1"/>
    <col min="7" max="7" width="18.85546875" customWidth="1"/>
    <col min="8" max="8" width="13.5703125" customWidth="1"/>
  </cols>
  <sheetData>
    <row r="1" spans="1:8" ht="18" x14ac:dyDescent="0.25">
      <c r="A1" s="78" t="s">
        <v>303</v>
      </c>
      <c r="B1" s="79"/>
      <c r="C1" s="79"/>
      <c r="D1" s="79"/>
      <c r="E1" s="79"/>
      <c r="F1" s="79"/>
      <c r="G1" s="79"/>
      <c r="H1" s="80"/>
    </row>
    <row r="2" spans="1:8" ht="12.75" x14ac:dyDescent="0.2">
      <c r="A2" s="41"/>
      <c r="B2" s="31"/>
      <c r="C2" s="31"/>
      <c r="D2" s="31"/>
      <c r="E2" s="31"/>
      <c r="F2" s="31"/>
      <c r="G2" s="31"/>
      <c r="H2" s="31"/>
    </row>
    <row r="3" spans="1:8" ht="12.75" x14ac:dyDescent="0.2">
      <c r="A3" s="128" t="s">
        <v>304</v>
      </c>
      <c r="B3" s="79"/>
      <c r="C3" s="79"/>
      <c r="D3" s="79"/>
      <c r="E3" s="79"/>
      <c r="F3" s="79"/>
      <c r="G3" s="79"/>
      <c r="H3" s="80"/>
    </row>
    <row r="4" spans="1:8" ht="12.75" x14ac:dyDescent="0.2">
      <c r="A4" s="129" t="s">
        <v>305</v>
      </c>
      <c r="B4" s="129" t="s">
        <v>282</v>
      </c>
      <c r="C4" s="129" t="s">
        <v>283</v>
      </c>
      <c r="D4" s="129" t="s">
        <v>306</v>
      </c>
      <c r="E4" s="130" t="s">
        <v>307</v>
      </c>
      <c r="F4" s="80"/>
      <c r="G4" s="130" t="s">
        <v>308</v>
      </c>
      <c r="H4" s="80"/>
    </row>
    <row r="5" spans="1:8" ht="38.25" x14ac:dyDescent="0.2">
      <c r="A5" s="108"/>
      <c r="B5" s="108"/>
      <c r="C5" s="108"/>
      <c r="D5" s="108"/>
      <c r="E5" s="25" t="s">
        <v>309</v>
      </c>
      <c r="F5" s="25" t="s">
        <v>310</v>
      </c>
      <c r="G5" s="25" t="s">
        <v>311</v>
      </c>
      <c r="H5" s="25" t="s">
        <v>312</v>
      </c>
    </row>
    <row r="6" spans="1:8" ht="51" x14ac:dyDescent="0.2">
      <c r="A6" s="1">
        <v>1</v>
      </c>
      <c r="B6" s="42" t="s">
        <v>313</v>
      </c>
      <c r="C6" s="43" t="s">
        <v>314</v>
      </c>
      <c r="D6" s="44" t="s">
        <v>315</v>
      </c>
      <c r="E6" s="44">
        <v>25</v>
      </c>
      <c r="F6" s="34">
        <f t="shared" ref="F6:F45" si="0">IF(D6="MENSAL",E6*12,(IF(D6="TRIMESTRAL",E6*4,IF(D6="SEMESTRAL",E6*2,(IF(D6="ANUAL",E6,"VERIFICAR"))))))</f>
        <v>300</v>
      </c>
      <c r="G6" s="35">
        <v>7.34</v>
      </c>
      <c r="H6" s="35">
        <f t="shared" ref="H6:H45" si="1">TRUNC(F6*G6,2)</f>
        <v>2202</v>
      </c>
    </row>
    <row r="7" spans="1:8" ht="63.75" x14ac:dyDescent="0.2">
      <c r="A7" s="1">
        <v>2</v>
      </c>
      <c r="B7" s="42" t="s">
        <v>316</v>
      </c>
      <c r="C7" s="43" t="s">
        <v>314</v>
      </c>
      <c r="D7" s="45" t="s">
        <v>315</v>
      </c>
      <c r="E7" s="45">
        <v>80</v>
      </c>
      <c r="F7" s="34">
        <f t="shared" si="0"/>
        <v>960</v>
      </c>
      <c r="G7" s="35">
        <v>34.479999999999997</v>
      </c>
      <c r="H7" s="35">
        <f t="shared" si="1"/>
        <v>33100.800000000003</v>
      </c>
    </row>
    <row r="8" spans="1:8" ht="38.25" x14ac:dyDescent="0.2">
      <c r="A8" s="1">
        <v>3</v>
      </c>
      <c r="B8" s="42" t="s">
        <v>317</v>
      </c>
      <c r="C8" s="43" t="s">
        <v>314</v>
      </c>
      <c r="D8" s="44" t="s">
        <v>315</v>
      </c>
      <c r="E8" s="44">
        <v>4</v>
      </c>
      <c r="F8" s="34">
        <f t="shared" si="0"/>
        <v>48</v>
      </c>
      <c r="G8" s="35">
        <v>42.03</v>
      </c>
      <c r="H8" s="35">
        <f t="shared" si="1"/>
        <v>2017.44</v>
      </c>
    </row>
    <row r="9" spans="1:8" ht="38.25" x14ac:dyDescent="0.2">
      <c r="A9" s="1">
        <v>4</v>
      </c>
      <c r="B9" s="42" t="s">
        <v>318</v>
      </c>
      <c r="C9" s="43" t="s">
        <v>314</v>
      </c>
      <c r="D9" s="44" t="s">
        <v>315</v>
      </c>
      <c r="E9" s="44">
        <v>15</v>
      </c>
      <c r="F9" s="34">
        <f t="shared" si="0"/>
        <v>180</v>
      </c>
      <c r="G9" s="35">
        <v>51.96</v>
      </c>
      <c r="H9" s="35">
        <f t="shared" si="1"/>
        <v>9352.7999999999993</v>
      </c>
    </row>
    <row r="10" spans="1:8" ht="51" x14ac:dyDescent="0.2">
      <c r="A10" s="1">
        <v>5</v>
      </c>
      <c r="B10" s="42" t="s">
        <v>319</v>
      </c>
      <c r="C10" s="43" t="s">
        <v>314</v>
      </c>
      <c r="D10" s="44" t="s">
        <v>315</v>
      </c>
      <c r="E10" s="44">
        <v>4</v>
      </c>
      <c r="F10" s="34">
        <f t="shared" si="0"/>
        <v>48</v>
      </c>
      <c r="G10" s="35">
        <v>37.33</v>
      </c>
      <c r="H10" s="35">
        <f t="shared" si="1"/>
        <v>1791.84</v>
      </c>
    </row>
    <row r="11" spans="1:8" ht="51" x14ac:dyDescent="0.2">
      <c r="A11" s="1">
        <v>6</v>
      </c>
      <c r="B11" s="42" t="s">
        <v>320</v>
      </c>
      <c r="C11" s="43" t="s">
        <v>321</v>
      </c>
      <c r="D11" s="45" t="s">
        <v>315</v>
      </c>
      <c r="E11" s="45">
        <v>34</v>
      </c>
      <c r="F11" s="34">
        <f t="shared" si="0"/>
        <v>408</v>
      </c>
      <c r="G11" s="35">
        <v>9.44</v>
      </c>
      <c r="H11" s="35">
        <f t="shared" si="1"/>
        <v>3851.52</v>
      </c>
    </row>
    <row r="12" spans="1:8" ht="25.5" x14ac:dyDescent="0.2">
      <c r="A12" s="1">
        <v>7</v>
      </c>
      <c r="B12" s="42" t="s">
        <v>322</v>
      </c>
      <c r="C12" s="43" t="s">
        <v>314</v>
      </c>
      <c r="D12" s="45" t="s">
        <v>315</v>
      </c>
      <c r="E12" s="45">
        <v>16</v>
      </c>
      <c r="F12" s="34">
        <f t="shared" si="0"/>
        <v>192</v>
      </c>
      <c r="G12" s="35">
        <v>43.27</v>
      </c>
      <c r="H12" s="35">
        <f t="shared" si="1"/>
        <v>8307.84</v>
      </c>
    </row>
    <row r="13" spans="1:8" ht="63.75" x14ac:dyDescent="0.2">
      <c r="A13" s="1">
        <v>8</v>
      </c>
      <c r="B13" s="42" t="s">
        <v>323</v>
      </c>
      <c r="C13" s="43" t="s">
        <v>324</v>
      </c>
      <c r="D13" s="45" t="s">
        <v>315</v>
      </c>
      <c r="E13" s="45">
        <v>48</v>
      </c>
      <c r="F13" s="34">
        <f t="shared" si="0"/>
        <v>576</v>
      </c>
      <c r="G13" s="35">
        <v>1.53</v>
      </c>
      <c r="H13" s="35">
        <f t="shared" si="1"/>
        <v>881.28</v>
      </c>
    </row>
    <row r="14" spans="1:8" ht="25.5" x14ac:dyDescent="0.2">
      <c r="A14" s="1">
        <v>9</v>
      </c>
      <c r="B14" s="46" t="s">
        <v>325</v>
      </c>
      <c r="C14" s="1" t="s">
        <v>283</v>
      </c>
      <c r="D14" s="1" t="s">
        <v>326</v>
      </c>
      <c r="E14" s="1">
        <v>20</v>
      </c>
      <c r="F14" s="34">
        <f t="shared" si="0"/>
        <v>80</v>
      </c>
      <c r="G14" s="35">
        <v>511.67</v>
      </c>
      <c r="H14" s="35">
        <f t="shared" si="1"/>
        <v>40933.599999999999</v>
      </c>
    </row>
    <row r="15" spans="1:8" ht="25.5" x14ac:dyDescent="0.2">
      <c r="A15" s="1">
        <v>10</v>
      </c>
      <c r="B15" s="47" t="s">
        <v>327</v>
      </c>
      <c r="C15" s="1" t="s">
        <v>283</v>
      </c>
      <c r="D15" s="1" t="s">
        <v>326</v>
      </c>
      <c r="E15" s="1">
        <v>20</v>
      </c>
      <c r="F15" s="34">
        <f t="shared" si="0"/>
        <v>80</v>
      </c>
      <c r="G15" s="35">
        <v>28.65</v>
      </c>
      <c r="H15" s="35">
        <f t="shared" si="1"/>
        <v>2292</v>
      </c>
    </row>
    <row r="16" spans="1:8" ht="25.5" x14ac:dyDescent="0.2">
      <c r="A16" s="1">
        <v>11</v>
      </c>
      <c r="B16" s="47" t="s">
        <v>328</v>
      </c>
      <c r="C16" s="1" t="s">
        <v>283</v>
      </c>
      <c r="D16" s="1" t="s">
        <v>326</v>
      </c>
      <c r="E16" s="1">
        <v>20</v>
      </c>
      <c r="F16" s="34">
        <f t="shared" si="0"/>
        <v>80</v>
      </c>
      <c r="G16" s="35">
        <v>32.270000000000003</v>
      </c>
      <c r="H16" s="35">
        <f t="shared" si="1"/>
        <v>2581.6</v>
      </c>
    </row>
    <row r="17" spans="1:8" ht="25.5" x14ac:dyDescent="0.2">
      <c r="A17" s="1">
        <v>12</v>
      </c>
      <c r="B17" s="47" t="s">
        <v>329</v>
      </c>
      <c r="C17" s="1" t="s">
        <v>283</v>
      </c>
      <c r="D17" s="1" t="s">
        <v>326</v>
      </c>
      <c r="E17" s="1">
        <v>20</v>
      </c>
      <c r="F17" s="34">
        <f t="shared" si="0"/>
        <v>80</v>
      </c>
      <c r="G17" s="35">
        <v>38.369999999999997</v>
      </c>
      <c r="H17" s="35">
        <f t="shared" si="1"/>
        <v>3069.6</v>
      </c>
    </row>
    <row r="18" spans="1:8" ht="38.25" x14ac:dyDescent="0.2">
      <c r="A18" s="1">
        <v>13</v>
      </c>
      <c r="B18" s="42" t="s">
        <v>330</v>
      </c>
      <c r="C18" s="43" t="s">
        <v>331</v>
      </c>
      <c r="D18" s="45" t="s">
        <v>315</v>
      </c>
      <c r="E18" s="45">
        <v>20</v>
      </c>
      <c r="F18" s="34">
        <f t="shared" si="0"/>
        <v>240</v>
      </c>
      <c r="G18" s="35">
        <v>22.9</v>
      </c>
      <c r="H18" s="35">
        <f t="shared" si="1"/>
        <v>5496</v>
      </c>
    </row>
    <row r="19" spans="1:8" ht="38.25" x14ac:dyDescent="0.2">
      <c r="A19" s="1">
        <v>14</v>
      </c>
      <c r="B19" s="42" t="s">
        <v>332</v>
      </c>
      <c r="C19" s="43" t="s">
        <v>333</v>
      </c>
      <c r="D19" s="45" t="s">
        <v>315</v>
      </c>
      <c r="E19" s="45">
        <v>40</v>
      </c>
      <c r="F19" s="34">
        <f t="shared" si="0"/>
        <v>480</v>
      </c>
      <c r="G19" s="35">
        <v>3.17</v>
      </c>
      <c r="H19" s="35">
        <f t="shared" si="1"/>
        <v>1521.6</v>
      </c>
    </row>
    <row r="20" spans="1:8" ht="25.5" x14ac:dyDescent="0.2">
      <c r="A20" s="1">
        <v>15</v>
      </c>
      <c r="B20" s="42" t="s">
        <v>334</v>
      </c>
      <c r="C20" s="43" t="s">
        <v>283</v>
      </c>
      <c r="D20" s="45" t="s">
        <v>315</v>
      </c>
      <c r="E20" s="45">
        <v>40</v>
      </c>
      <c r="F20" s="34">
        <f t="shared" si="0"/>
        <v>480</v>
      </c>
      <c r="G20" s="35">
        <v>1.93</v>
      </c>
      <c r="H20" s="35">
        <f t="shared" si="1"/>
        <v>926.4</v>
      </c>
    </row>
    <row r="21" spans="1:8" ht="12.75" x14ac:dyDescent="0.2">
      <c r="A21" s="1">
        <v>16</v>
      </c>
      <c r="B21" s="42" t="s">
        <v>335</v>
      </c>
      <c r="C21" s="43" t="s">
        <v>336</v>
      </c>
      <c r="D21" s="45" t="s">
        <v>315</v>
      </c>
      <c r="E21" s="45">
        <v>5</v>
      </c>
      <c r="F21" s="34">
        <f t="shared" si="0"/>
        <v>60</v>
      </c>
      <c r="G21" s="35">
        <v>6.05</v>
      </c>
      <c r="H21" s="35">
        <f t="shared" si="1"/>
        <v>363</v>
      </c>
    </row>
    <row r="22" spans="1:8" ht="25.5" x14ac:dyDescent="0.2">
      <c r="A22" s="1">
        <v>17</v>
      </c>
      <c r="B22" s="42" t="s">
        <v>337</v>
      </c>
      <c r="C22" s="43" t="s">
        <v>338</v>
      </c>
      <c r="D22" s="45" t="s">
        <v>315</v>
      </c>
      <c r="E22" s="45">
        <v>36</v>
      </c>
      <c r="F22" s="34">
        <f t="shared" si="0"/>
        <v>432</v>
      </c>
      <c r="G22" s="35">
        <v>9.36</v>
      </c>
      <c r="H22" s="35">
        <f t="shared" si="1"/>
        <v>4043.52</v>
      </c>
    </row>
    <row r="23" spans="1:8" ht="25.5" x14ac:dyDescent="0.2">
      <c r="A23" s="1">
        <v>18</v>
      </c>
      <c r="B23" s="47" t="s">
        <v>339</v>
      </c>
      <c r="C23" s="1" t="s">
        <v>283</v>
      </c>
      <c r="D23" s="1" t="s">
        <v>326</v>
      </c>
      <c r="E23" s="1">
        <v>20</v>
      </c>
      <c r="F23" s="34">
        <f t="shared" si="0"/>
        <v>80</v>
      </c>
      <c r="G23" s="35">
        <v>426.67</v>
      </c>
      <c r="H23" s="35">
        <f t="shared" si="1"/>
        <v>34133.599999999999</v>
      </c>
    </row>
    <row r="24" spans="1:8" ht="25.5" x14ac:dyDescent="0.2">
      <c r="A24" s="1">
        <v>19</v>
      </c>
      <c r="B24" s="42" t="s">
        <v>340</v>
      </c>
      <c r="C24" s="43" t="s">
        <v>283</v>
      </c>
      <c r="D24" s="45" t="s">
        <v>315</v>
      </c>
      <c r="E24" s="45">
        <v>40</v>
      </c>
      <c r="F24" s="34">
        <f t="shared" si="0"/>
        <v>480</v>
      </c>
      <c r="G24" s="35">
        <v>2.89</v>
      </c>
      <c r="H24" s="35">
        <f t="shared" si="1"/>
        <v>1387.2</v>
      </c>
    </row>
    <row r="25" spans="1:8" ht="51" x14ac:dyDescent="0.2">
      <c r="A25" s="1">
        <v>20</v>
      </c>
      <c r="B25" s="42" t="s">
        <v>341</v>
      </c>
      <c r="C25" s="43" t="s">
        <v>342</v>
      </c>
      <c r="D25" s="45" t="s">
        <v>315</v>
      </c>
      <c r="E25" s="45">
        <v>45</v>
      </c>
      <c r="F25" s="34">
        <f t="shared" si="0"/>
        <v>540</v>
      </c>
      <c r="G25" s="35">
        <v>37.65</v>
      </c>
      <c r="H25" s="35">
        <f t="shared" si="1"/>
        <v>20331</v>
      </c>
    </row>
    <row r="26" spans="1:8" ht="63.75" x14ac:dyDescent="0.2">
      <c r="A26" s="1">
        <v>21</v>
      </c>
      <c r="B26" s="42" t="s">
        <v>343</v>
      </c>
      <c r="C26" s="43" t="s">
        <v>344</v>
      </c>
      <c r="D26" s="45" t="s">
        <v>315</v>
      </c>
      <c r="E26" s="45">
        <v>300</v>
      </c>
      <c r="F26" s="34">
        <f t="shared" si="0"/>
        <v>3600</v>
      </c>
      <c r="G26" s="35">
        <v>12.93</v>
      </c>
      <c r="H26" s="35">
        <f t="shared" si="1"/>
        <v>46548</v>
      </c>
    </row>
    <row r="27" spans="1:8" ht="25.5" x14ac:dyDescent="0.2">
      <c r="A27" s="1">
        <v>22</v>
      </c>
      <c r="B27" s="42" t="s">
        <v>345</v>
      </c>
      <c r="C27" s="43" t="s">
        <v>283</v>
      </c>
      <c r="D27" s="45" t="s">
        <v>326</v>
      </c>
      <c r="E27" s="45">
        <v>20</v>
      </c>
      <c r="F27" s="34">
        <f t="shared" si="0"/>
        <v>80</v>
      </c>
      <c r="G27" s="35">
        <v>12.01</v>
      </c>
      <c r="H27" s="35">
        <f t="shared" si="1"/>
        <v>960.8</v>
      </c>
    </row>
    <row r="28" spans="1:8" ht="25.5" x14ac:dyDescent="0.2">
      <c r="A28" s="1">
        <v>23</v>
      </c>
      <c r="B28" s="42" t="s">
        <v>346</v>
      </c>
      <c r="C28" s="43" t="s">
        <v>283</v>
      </c>
      <c r="D28" s="45" t="s">
        <v>326</v>
      </c>
      <c r="E28" s="45">
        <v>50</v>
      </c>
      <c r="F28" s="34">
        <f t="shared" si="0"/>
        <v>200</v>
      </c>
      <c r="G28" s="35">
        <v>17.38</v>
      </c>
      <c r="H28" s="35">
        <f t="shared" si="1"/>
        <v>3476</v>
      </c>
    </row>
    <row r="29" spans="1:8" ht="25.5" x14ac:dyDescent="0.2">
      <c r="A29" s="1">
        <v>24</v>
      </c>
      <c r="B29" s="42" t="s">
        <v>347</v>
      </c>
      <c r="C29" s="43" t="s">
        <v>283</v>
      </c>
      <c r="D29" s="45" t="s">
        <v>326</v>
      </c>
      <c r="E29" s="45">
        <v>20</v>
      </c>
      <c r="F29" s="34">
        <f t="shared" si="0"/>
        <v>80</v>
      </c>
      <c r="G29" s="35">
        <v>14.07</v>
      </c>
      <c r="H29" s="35">
        <f t="shared" si="1"/>
        <v>1125.5999999999999</v>
      </c>
    </row>
    <row r="30" spans="1:8" ht="38.25" x14ac:dyDescent="0.2">
      <c r="A30" s="1">
        <v>25</v>
      </c>
      <c r="B30" s="42" t="s">
        <v>348</v>
      </c>
      <c r="C30" s="43" t="s">
        <v>283</v>
      </c>
      <c r="D30" s="45" t="s">
        <v>326</v>
      </c>
      <c r="E30" s="45">
        <v>10</v>
      </c>
      <c r="F30" s="34">
        <f t="shared" si="0"/>
        <v>40</v>
      </c>
      <c r="G30" s="35">
        <v>8.77</v>
      </c>
      <c r="H30" s="35">
        <f t="shared" si="1"/>
        <v>350.8</v>
      </c>
    </row>
    <row r="31" spans="1:8" ht="12.75" x14ac:dyDescent="0.2">
      <c r="A31" s="1">
        <v>26</v>
      </c>
      <c r="B31" s="48" t="s">
        <v>349</v>
      </c>
      <c r="C31" s="43" t="s">
        <v>283</v>
      </c>
      <c r="D31" s="45" t="s">
        <v>315</v>
      </c>
      <c r="E31" s="45">
        <f>40</f>
        <v>40</v>
      </c>
      <c r="F31" s="34">
        <f t="shared" si="0"/>
        <v>480</v>
      </c>
      <c r="G31" s="35">
        <v>13.9</v>
      </c>
      <c r="H31" s="35">
        <f t="shared" si="1"/>
        <v>6672</v>
      </c>
    </row>
    <row r="32" spans="1:8" ht="12.75" x14ac:dyDescent="0.2">
      <c r="A32" s="1">
        <v>27</v>
      </c>
      <c r="B32" s="49" t="s">
        <v>350</v>
      </c>
      <c r="C32" s="43" t="s">
        <v>283</v>
      </c>
      <c r="D32" s="45" t="s">
        <v>315</v>
      </c>
      <c r="E32" s="45">
        <v>40</v>
      </c>
      <c r="F32" s="34">
        <f t="shared" si="0"/>
        <v>480</v>
      </c>
      <c r="G32" s="35">
        <v>24.27</v>
      </c>
      <c r="H32" s="35">
        <f t="shared" si="1"/>
        <v>11649.6</v>
      </c>
    </row>
    <row r="33" spans="1:8" ht="38.25" x14ac:dyDescent="0.2">
      <c r="A33" s="1">
        <v>28</v>
      </c>
      <c r="B33" s="42" t="s">
        <v>351</v>
      </c>
      <c r="C33" s="43" t="s">
        <v>352</v>
      </c>
      <c r="D33" s="45" t="s">
        <v>315</v>
      </c>
      <c r="E33" s="45">
        <v>20</v>
      </c>
      <c r="F33" s="34">
        <f t="shared" si="0"/>
        <v>240</v>
      </c>
      <c r="G33" s="35">
        <v>8.4600000000000009</v>
      </c>
      <c r="H33" s="35">
        <f t="shared" si="1"/>
        <v>2030.4</v>
      </c>
    </row>
    <row r="34" spans="1:8" ht="102" x14ac:dyDescent="0.2">
      <c r="A34" s="1">
        <v>29</v>
      </c>
      <c r="B34" s="42" t="s">
        <v>353</v>
      </c>
      <c r="C34" s="43" t="s">
        <v>283</v>
      </c>
      <c r="D34" s="45" t="s">
        <v>315</v>
      </c>
      <c r="E34" s="45">
        <v>20</v>
      </c>
      <c r="F34" s="34">
        <f t="shared" si="0"/>
        <v>240</v>
      </c>
      <c r="G34" s="35">
        <v>11.47</v>
      </c>
      <c r="H34" s="35">
        <f t="shared" si="1"/>
        <v>2752.8</v>
      </c>
    </row>
    <row r="35" spans="1:8" ht="63.75" x14ac:dyDescent="0.2">
      <c r="A35" s="1">
        <v>30</v>
      </c>
      <c r="B35" s="42" t="s">
        <v>354</v>
      </c>
      <c r="C35" s="43" t="s">
        <v>355</v>
      </c>
      <c r="D35" s="45" t="s">
        <v>315</v>
      </c>
      <c r="E35" s="45">
        <v>12</v>
      </c>
      <c r="F35" s="34">
        <f t="shared" si="0"/>
        <v>144</v>
      </c>
      <c r="G35" s="35">
        <v>18.64</v>
      </c>
      <c r="H35" s="35">
        <f t="shared" si="1"/>
        <v>2684.16</v>
      </c>
    </row>
    <row r="36" spans="1:8" ht="63.75" x14ac:dyDescent="0.2">
      <c r="A36" s="1">
        <v>31</v>
      </c>
      <c r="B36" s="42" t="s">
        <v>356</v>
      </c>
      <c r="C36" s="43" t="s">
        <v>357</v>
      </c>
      <c r="D36" s="45" t="s">
        <v>315</v>
      </c>
      <c r="E36" s="45">
        <v>15</v>
      </c>
      <c r="F36" s="34">
        <f t="shared" si="0"/>
        <v>180</v>
      </c>
      <c r="G36" s="35">
        <v>19.600000000000001</v>
      </c>
      <c r="H36" s="35">
        <f t="shared" si="1"/>
        <v>3528</v>
      </c>
    </row>
    <row r="37" spans="1:8" ht="51" x14ac:dyDescent="0.2">
      <c r="A37" s="1">
        <v>32</v>
      </c>
      <c r="B37" s="42" t="s">
        <v>358</v>
      </c>
      <c r="C37" s="43" t="s">
        <v>357</v>
      </c>
      <c r="D37" s="45" t="s">
        <v>315</v>
      </c>
      <c r="E37" s="45">
        <v>16</v>
      </c>
      <c r="F37" s="34">
        <f t="shared" si="0"/>
        <v>192</v>
      </c>
      <c r="G37" s="35">
        <v>31.37</v>
      </c>
      <c r="H37" s="35">
        <f t="shared" si="1"/>
        <v>6023.04</v>
      </c>
    </row>
    <row r="38" spans="1:8" ht="51" x14ac:dyDescent="0.2">
      <c r="A38" s="1">
        <v>33</v>
      </c>
      <c r="B38" s="42" t="s">
        <v>359</v>
      </c>
      <c r="C38" s="43" t="s">
        <v>357</v>
      </c>
      <c r="D38" s="45" t="s">
        <v>315</v>
      </c>
      <c r="E38" s="45">
        <v>15</v>
      </c>
      <c r="F38" s="34">
        <f t="shared" si="0"/>
        <v>180</v>
      </c>
      <c r="G38" s="35">
        <v>35.32</v>
      </c>
      <c r="H38" s="35">
        <f t="shared" si="1"/>
        <v>6357.6</v>
      </c>
    </row>
    <row r="39" spans="1:8" ht="25.5" x14ac:dyDescent="0.2">
      <c r="A39" s="1">
        <v>34</v>
      </c>
      <c r="B39" s="42" t="s">
        <v>360</v>
      </c>
      <c r="C39" s="43" t="s">
        <v>314</v>
      </c>
      <c r="D39" s="45" t="s">
        <v>315</v>
      </c>
      <c r="E39" s="45">
        <v>6</v>
      </c>
      <c r="F39" s="34">
        <f t="shared" si="0"/>
        <v>72</v>
      </c>
      <c r="G39" s="35">
        <v>96.83</v>
      </c>
      <c r="H39" s="35">
        <f t="shared" si="1"/>
        <v>6971.76</v>
      </c>
    </row>
    <row r="40" spans="1:8" ht="63.75" x14ac:dyDescent="0.2">
      <c r="A40" s="1">
        <v>35</v>
      </c>
      <c r="B40" s="42" t="s">
        <v>361</v>
      </c>
      <c r="C40" s="43" t="s">
        <v>314</v>
      </c>
      <c r="D40" s="45" t="s">
        <v>315</v>
      </c>
      <c r="E40" s="45">
        <v>10</v>
      </c>
      <c r="F40" s="34">
        <f t="shared" si="0"/>
        <v>120</v>
      </c>
      <c r="G40" s="35">
        <v>88.76</v>
      </c>
      <c r="H40" s="35">
        <f t="shared" si="1"/>
        <v>10651.2</v>
      </c>
    </row>
    <row r="41" spans="1:8" ht="51" x14ac:dyDescent="0.2">
      <c r="A41" s="1">
        <v>36</v>
      </c>
      <c r="B41" s="42" t="s">
        <v>362</v>
      </c>
      <c r="C41" s="43" t="s">
        <v>363</v>
      </c>
      <c r="D41" s="45" t="s">
        <v>315</v>
      </c>
      <c r="E41" s="45">
        <v>48</v>
      </c>
      <c r="F41" s="34">
        <f t="shared" si="0"/>
        <v>576</v>
      </c>
      <c r="G41" s="35">
        <v>4.03</v>
      </c>
      <c r="H41" s="35">
        <f t="shared" si="1"/>
        <v>2321.2800000000002</v>
      </c>
    </row>
    <row r="42" spans="1:8" ht="38.25" x14ac:dyDescent="0.2">
      <c r="A42" s="1">
        <v>37</v>
      </c>
      <c r="B42" s="42" t="s">
        <v>364</v>
      </c>
      <c r="C42" s="43" t="s">
        <v>365</v>
      </c>
      <c r="D42" s="45" t="s">
        <v>315</v>
      </c>
      <c r="E42" s="45">
        <v>2</v>
      </c>
      <c r="F42" s="34">
        <f t="shared" si="0"/>
        <v>24</v>
      </c>
      <c r="G42" s="35">
        <v>47.47</v>
      </c>
      <c r="H42" s="35">
        <f t="shared" si="1"/>
        <v>1139.28</v>
      </c>
    </row>
    <row r="43" spans="1:8" ht="51" x14ac:dyDescent="0.2">
      <c r="A43" s="1">
        <v>38</v>
      </c>
      <c r="B43" s="42" t="s">
        <v>366</v>
      </c>
      <c r="C43" s="43" t="s">
        <v>367</v>
      </c>
      <c r="D43" s="45" t="s">
        <v>315</v>
      </c>
      <c r="E43" s="45">
        <v>15</v>
      </c>
      <c r="F43" s="34">
        <f t="shared" si="0"/>
        <v>180</v>
      </c>
      <c r="G43" s="35">
        <v>6.07</v>
      </c>
      <c r="H43" s="35">
        <f t="shared" si="1"/>
        <v>1092.5999999999999</v>
      </c>
    </row>
    <row r="44" spans="1:8" ht="25.5" x14ac:dyDescent="0.2">
      <c r="A44" s="1">
        <v>39</v>
      </c>
      <c r="B44" s="42" t="s">
        <v>368</v>
      </c>
      <c r="C44" s="43" t="s">
        <v>314</v>
      </c>
      <c r="D44" s="45" t="s">
        <v>315</v>
      </c>
      <c r="E44" s="45">
        <v>4</v>
      </c>
      <c r="F44" s="34">
        <f t="shared" si="0"/>
        <v>48</v>
      </c>
      <c r="G44" s="35">
        <v>36.93</v>
      </c>
      <c r="H44" s="35">
        <f t="shared" si="1"/>
        <v>1772.64</v>
      </c>
    </row>
    <row r="45" spans="1:8" ht="25.5" x14ac:dyDescent="0.2">
      <c r="A45" s="1">
        <v>40</v>
      </c>
      <c r="B45" s="42" t="s">
        <v>369</v>
      </c>
      <c r="C45" s="43" t="s">
        <v>324</v>
      </c>
      <c r="D45" s="45" t="s">
        <v>315</v>
      </c>
      <c r="E45" s="45">
        <v>10</v>
      </c>
      <c r="F45" s="34">
        <f t="shared" si="0"/>
        <v>120</v>
      </c>
      <c r="G45" s="35">
        <v>5.49</v>
      </c>
      <c r="H45" s="35">
        <f t="shared" si="1"/>
        <v>658.8</v>
      </c>
    </row>
    <row r="46" spans="1:8" ht="12.75" x14ac:dyDescent="0.2">
      <c r="A46" s="121" t="s">
        <v>370</v>
      </c>
      <c r="B46" s="79"/>
      <c r="C46" s="79"/>
      <c r="D46" s="79"/>
      <c r="E46" s="79"/>
      <c r="F46" s="79"/>
      <c r="G46" s="80"/>
      <c r="H46" s="50">
        <f>TRUNC(SUM(H6:H45),2)</f>
        <v>297351</v>
      </c>
    </row>
    <row r="47" spans="1:8" ht="12.75" customHeight="1" x14ac:dyDescent="0.2">
      <c r="A47" s="128" t="s">
        <v>371</v>
      </c>
      <c r="B47" s="79"/>
      <c r="C47" s="79"/>
      <c r="D47" s="79"/>
      <c r="E47" s="79"/>
      <c r="F47" s="79"/>
      <c r="G47" s="79"/>
      <c r="H47" s="80"/>
    </row>
    <row r="48" spans="1:8" ht="12.75" customHeight="1" x14ac:dyDescent="0.2">
      <c r="A48" s="129" t="s">
        <v>305</v>
      </c>
      <c r="B48" s="129" t="s">
        <v>282</v>
      </c>
      <c r="C48" s="129" t="s">
        <v>283</v>
      </c>
      <c r="D48" s="129" t="s">
        <v>306</v>
      </c>
      <c r="E48" s="130" t="s">
        <v>307</v>
      </c>
      <c r="F48" s="80"/>
      <c r="G48" s="130" t="s">
        <v>308</v>
      </c>
      <c r="H48" s="80"/>
    </row>
    <row r="49" spans="1:8" ht="38.25" x14ac:dyDescent="0.2">
      <c r="A49" s="108"/>
      <c r="B49" s="108"/>
      <c r="C49" s="108"/>
      <c r="D49" s="108"/>
      <c r="E49" s="25" t="s">
        <v>309</v>
      </c>
      <c r="F49" s="25" t="s">
        <v>310</v>
      </c>
      <c r="G49" s="25" t="s">
        <v>311</v>
      </c>
      <c r="H49" s="25" t="s">
        <v>312</v>
      </c>
    </row>
    <row r="50" spans="1:8" ht="38.25" x14ac:dyDescent="0.2">
      <c r="A50" s="1">
        <v>41</v>
      </c>
      <c r="B50" s="33" t="s">
        <v>372</v>
      </c>
      <c r="C50" s="1" t="s">
        <v>283</v>
      </c>
      <c r="D50" s="1" t="s">
        <v>373</v>
      </c>
      <c r="E50" s="1">
        <v>15</v>
      </c>
      <c r="F50" s="34">
        <f t="shared" ref="F50:F77" si="2">IF(D50="MENSAL",E50*12,(IF(D50="TRIMESTRAL",E50*4,IF(D50="SEMESTRAL",E50*2,(IF(D50="ANUAL",E50,"VERIFICAR"))))))</f>
        <v>30</v>
      </c>
      <c r="G50" s="35">
        <v>17.34</v>
      </c>
      <c r="H50" s="35">
        <f t="shared" ref="H50:H77" si="3">TRUNC(F50*G50,2)</f>
        <v>520.20000000000005</v>
      </c>
    </row>
    <row r="51" spans="1:8" ht="12.75" x14ac:dyDescent="0.2">
      <c r="A51" s="1">
        <v>42</v>
      </c>
      <c r="B51" s="33" t="s">
        <v>374</v>
      </c>
      <c r="C51" s="1" t="s">
        <v>283</v>
      </c>
      <c r="D51" s="1" t="s">
        <v>373</v>
      </c>
      <c r="E51" s="1">
        <v>40</v>
      </c>
      <c r="F51" s="34">
        <f t="shared" si="2"/>
        <v>80</v>
      </c>
      <c r="G51" s="35">
        <v>10.5</v>
      </c>
      <c r="H51" s="35">
        <f t="shared" si="3"/>
        <v>840</v>
      </c>
    </row>
    <row r="52" spans="1:8" ht="38.25" x14ac:dyDescent="0.2">
      <c r="A52" s="1">
        <v>43</v>
      </c>
      <c r="B52" s="33" t="s">
        <v>375</v>
      </c>
      <c r="C52" s="1" t="s">
        <v>283</v>
      </c>
      <c r="D52" s="1" t="s">
        <v>373</v>
      </c>
      <c r="E52" s="1">
        <v>40</v>
      </c>
      <c r="F52" s="34">
        <f t="shared" si="2"/>
        <v>80</v>
      </c>
      <c r="G52" s="35">
        <v>6.6</v>
      </c>
      <c r="H52" s="35">
        <f t="shared" si="3"/>
        <v>528</v>
      </c>
    </row>
    <row r="53" spans="1:8" ht="51" x14ac:dyDescent="0.2">
      <c r="A53" s="1">
        <v>44</v>
      </c>
      <c r="B53" s="33" t="s">
        <v>376</v>
      </c>
      <c r="C53" s="1" t="s">
        <v>283</v>
      </c>
      <c r="D53" s="1" t="s">
        <v>373</v>
      </c>
      <c r="E53" s="1">
        <v>50</v>
      </c>
      <c r="F53" s="34">
        <f t="shared" si="2"/>
        <v>100</v>
      </c>
      <c r="G53" s="35">
        <v>19.850000000000001</v>
      </c>
      <c r="H53" s="35">
        <f t="shared" si="3"/>
        <v>1985</v>
      </c>
    </row>
    <row r="54" spans="1:8" ht="63.75" x14ac:dyDescent="0.2">
      <c r="A54" s="1">
        <v>45</v>
      </c>
      <c r="B54" s="33" t="s">
        <v>377</v>
      </c>
      <c r="C54" s="1" t="s">
        <v>283</v>
      </c>
      <c r="D54" s="1" t="s">
        <v>373</v>
      </c>
      <c r="E54" s="1">
        <v>40</v>
      </c>
      <c r="F54" s="34">
        <f t="shared" si="2"/>
        <v>80</v>
      </c>
      <c r="G54" s="35">
        <v>26.33</v>
      </c>
      <c r="H54" s="35">
        <f t="shared" si="3"/>
        <v>2106.4</v>
      </c>
    </row>
    <row r="55" spans="1:8" ht="51" x14ac:dyDescent="0.2">
      <c r="A55" s="1">
        <v>46</v>
      </c>
      <c r="B55" s="33" t="s">
        <v>378</v>
      </c>
      <c r="C55" s="1" t="s">
        <v>283</v>
      </c>
      <c r="D55" s="1" t="s">
        <v>373</v>
      </c>
      <c r="E55" s="1">
        <v>60</v>
      </c>
      <c r="F55" s="34">
        <f t="shared" si="2"/>
        <v>120</v>
      </c>
      <c r="G55" s="35">
        <v>2.09</v>
      </c>
      <c r="H55" s="35">
        <f t="shared" si="3"/>
        <v>250.8</v>
      </c>
    </row>
    <row r="56" spans="1:8" ht="25.5" x14ac:dyDescent="0.2">
      <c r="A56" s="1">
        <v>47</v>
      </c>
      <c r="B56" s="33" t="s">
        <v>379</v>
      </c>
      <c r="C56" s="1" t="s">
        <v>283</v>
      </c>
      <c r="D56" s="1" t="s">
        <v>380</v>
      </c>
      <c r="E56" s="34">
        <v>10</v>
      </c>
      <c r="F56" s="34">
        <f t="shared" si="2"/>
        <v>10</v>
      </c>
      <c r="G56" s="35">
        <v>54.95</v>
      </c>
      <c r="H56" s="35">
        <f t="shared" si="3"/>
        <v>549.5</v>
      </c>
    </row>
    <row r="57" spans="1:8" ht="12.75" x14ac:dyDescent="0.2">
      <c r="A57" s="1">
        <v>48</v>
      </c>
      <c r="B57" s="33" t="s">
        <v>381</v>
      </c>
      <c r="C57" s="1" t="s">
        <v>283</v>
      </c>
      <c r="D57" s="1" t="s">
        <v>373</v>
      </c>
      <c r="E57" s="1">
        <v>60</v>
      </c>
      <c r="F57" s="34">
        <f t="shared" si="2"/>
        <v>120</v>
      </c>
      <c r="G57" s="35">
        <v>3.99</v>
      </c>
      <c r="H57" s="35">
        <f t="shared" si="3"/>
        <v>478.8</v>
      </c>
    </row>
    <row r="58" spans="1:8" ht="12.75" x14ac:dyDescent="0.2">
      <c r="A58" s="1">
        <v>49</v>
      </c>
      <c r="B58" s="33" t="s">
        <v>382</v>
      </c>
      <c r="C58" s="1" t="s">
        <v>283</v>
      </c>
      <c r="D58" s="1" t="s">
        <v>373</v>
      </c>
      <c r="E58" s="1">
        <v>15</v>
      </c>
      <c r="F58" s="34">
        <f t="shared" si="2"/>
        <v>30</v>
      </c>
      <c r="G58" s="35">
        <v>17.68</v>
      </c>
      <c r="H58" s="35">
        <f t="shared" si="3"/>
        <v>530.4</v>
      </c>
    </row>
    <row r="59" spans="1:8" ht="25.5" x14ac:dyDescent="0.2">
      <c r="A59" s="1">
        <v>50</v>
      </c>
      <c r="B59" s="33" t="s">
        <v>383</v>
      </c>
      <c r="C59" s="1" t="s">
        <v>283</v>
      </c>
      <c r="D59" s="1" t="s">
        <v>380</v>
      </c>
      <c r="E59" s="1">
        <v>10</v>
      </c>
      <c r="F59" s="34">
        <f t="shared" si="2"/>
        <v>10</v>
      </c>
      <c r="G59" s="35">
        <v>119.7</v>
      </c>
      <c r="H59" s="35">
        <f t="shared" si="3"/>
        <v>1197</v>
      </c>
    </row>
    <row r="60" spans="1:8" ht="25.5" x14ac:dyDescent="0.2">
      <c r="A60" s="1">
        <v>51</v>
      </c>
      <c r="B60" s="33" t="s">
        <v>384</v>
      </c>
      <c r="C60" s="1" t="s">
        <v>283</v>
      </c>
      <c r="D60" s="1" t="s">
        <v>373</v>
      </c>
      <c r="E60" s="1">
        <v>5</v>
      </c>
      <c r="F60" s="34">
        <f t="shared" si="2"/>
        <v>10</v>
      </c>
      <c r="G60" s="35">
        <v>262.35000000000002</v>
      </c>
      <c r="H60" s="35">
        <f t="shared" si="3"/>
        <v>2623.5</v>
      </c>
    </row>
    <row r="61" spans="1:8" ht="25.5" x14ac:dyDescent="0.2">
      <c r="A61" s="1">
        <v>52</v>
      </c>
      <c r="B61" s="33" t="s">
        <v>385</v>
      </c>
      <c r="C61" s="1" t="s">
        <v>283</v>
      </c>
      <c r="D61" s="1" t="s">
        <v>373</v>
      </c>
      <c r="E61" s="1">
        <v>10</v>
      </c>
      <c r="F61" s="34">
        <f t="shared" si="2"/>
        <v>20</v>
      </c>
      <c r="G61" s="35">
        <v>15.54</v>
      </c>
      <c r="H61" s="35">
        <f t="shared" si="3"/>
        <v>310.8</v>
      </c>
    </row>
    <row r="62" spans="1:8" ht="25.5" x14ac:dyDescent="0.2">
      <c r="A62" s="1">
        <v>53</v>
      </c>
      <c r="B62" s="33" t="s">
        <v>386</v>
      </c>
      <c r="C62" s="1" t="s">
        <v>283</v>
      </c>
      <c r="D62" s="1" t="s">
        <v>373</v>
      </c>
      <c r="E62" s="1">
        <v>10</v>
      </c>
      <c r="F62" s="34">
        <f t="shared" si="2"/>
        <v>20</v>
      </c>
      <c r="G62" s="35">
        <v>9.76</v>
      </c>
      <c r="H62" s="35">
        <f t="shared" si="3"/>
        <v>195.2</v>
      </c>
    </row>
    <row r="63" spans="1:8" ht="25.5" x14ac:dyDescent="0.2">
      <c r="A63" s="1">
        <v>54</v>
      </c>
      <c r="B63" s="33" t="s">
        <v>387</v>
      </c>
      <c r="C63" s="1" t="s">
        <v>283</v>
      </c>
      <c r="D63" s="1" t="s">
        <v>373</v>
      </c>
      <c r="E63" s="1">
        <v>20</v>
      </c>
      <c r="F63" s="34">
        <f t="shared" si="2"/>
        <v>40</v>
      </c>
      <c r="G63" s="35">
        <v>37.67</v>
      </c>
      <c r="H63" s="35">
        <f t="shared" si="3"/>
        <v>1506.8</v>
      </c>
    </row>
    <row r="64" spans="1:8" ht="12.75" x14ac:dyDescent="0.2">
      <c r="A64" s="1">
        <v>55</v>
      </c>
      <c r="B64" s="33" t="s">
        <v>388</v>
      </c>
      <c r="C64" s="1" t="s">
        <v>283</v>
      </c>
      <c r="D64" s="1" t="s">
        <v>373</v>
      </c>
      <c r="E64" s="1">
        <v>10</v>
      </c>
      <c r="F64" s="34">
        <f t="shared" si="2"/>
        <v>20</v>
      </c>
      <c r="G64" s="35">
        <f>G63</f>
        <v>37.67</v>
      </c>
      <c r="H64" s="35">
        <f t="shared" si="3"/>
        <v>753.4</v>
      </c>
    </row>
    <row r="65" spans="1:8" ht="25.5" x14ac:dyDescent="0.2">
      <c r="A65" s="1">
        <v>56</v>
      </c>
      <c r="B65" s="33" t="s">
        <v>389</v>
      </c>
      <c r="C65" s="1" t="s">
        <v>283</v>
      </c>
      <c r="D65" s="1" t="s">
        <v>373</v>
      </c>
      <c r="E65" s="1">
        <v>10</v>
      </c>
      <c r="F65" s="34">
        <f t="shared" si="2"/>
        <v>20</v>
      </c>
      <c r="G65" s="35">
        <f>G63</f>
        <v>37.67</v>
      </c>
      <c r="H65" s="35">
        <f t="shared" si="3"/>
        <v>753.4</v>
      </c>
    </row>
    <row r="66" spans="1:8" ht="25.5" x14ac:dyDescent="0.2">
      <c r="A66" s="1">
        <v>57</v>
      </c>
      <c r="B66" s="33" t="s">
        <v>390</v>
      </c>
      <c r="C66" s="1" t="s">
        <v>283</v>
      </c>
      <c r="D66" s="1" t="s">
        <v>380</v>
      </c>
      <c r="E66" s="1">
        <v>2</v>
      </c>
      <c r="F66" s="34">
        <f t="shared" si="2"/>
        <v>2</v>
      </c>
      <c r="G66" s="35">
        <v>23.9</v>
      </c>
      <c r="H66" s="35">
        <f t="shared" si="3"/>
        <v>47.8</v>
      </c>
    </row>
    <row r="67" spans="1:8" ht="63.75" x14ac:dyDescent="0.2">
      <c r="A67" s="1">
        <v>58</v>
      </c>
      <c r="B67" s="33" t="s">
        <v>391</v>
      </c>
      <c r="C67" s="1" t="s">
        <v>283</v>
      </c>
      <c r="D67" s="1" t="s">
        <v>380</v>
      </c>
      <c r="E67" s="1">
        <v>50</v>
      </c>
      <c r="F67" s="34">
        <f t="shared" si="2"/>
        <v>50</v>
      </c>
      <c r="G67" s="35">
        <v>60.62</v>
      </c>
      <c r="H67" s="35">
        <f t="shared" si="3"/>
        <v>3031</v>
      </c>
    </row>
    <row r="68" spans="1:8" ht="25.5" x14ac:dyDescent="0.2">
      <c r="A68" s="1">
        <v>59</v>
      </c>
      <c r="B68" s="33" t="s">
        <v>392</v>
      </c>
      <c r="C68" s="1" t="s">
        <v>283</v>
      </c>
      <c r="D68" s="1" t="s">
        <v>373</v>
      </c>
      <c r="E68" s="1">
        <v>10</v>
      </c>
      <c r="F68" s="34">
        <f t="shared" si="2"/>
        <v>20</v>
      </c>
      <c r="G68" s="35">
        <v>20.11</v>
      </c>
      <c r="H68" s="35">
        <f t="shared" si="3"/>
        <v>402.2</v>
      </c>
    </row>
    <row r="69" spans="1:8" ht="25.5" x14ac:dyDescent="0.2">
      <c r="A69" s="1">
        <v>60</v>
      </c>
      <c r="B69" s="33" t="s">
        <v>393</v>
      </c>
      <c r="C69" s="1" t="s">
        <v>283</v>
      </c>
      <c r="D69" s="1" t="s">
        <v>373</v>
      </c>
      <c r="E69" s="1">
        <v>25</v>
      </c>
      <c r="F69" s="34">
        <f t="shared" si="2"/>
        <v>50</v>
      </c>
      <c r="G69" s="35">
        <v>22.22</v>
      </c>
      <c r="H69" s="35">
        <f t="shared" si="3"/>
        <v>1111</v>
      </c>
    </row>
    <row r="70" spans="1:8" ht="25.5" x14ac:dyDescent="0.2">
      <c r="A70" s="1">
        <v>61</v>
      </c>
      <c r="B70" s="33" t="s">
        <v>394</v>
      </c>
      <c r="C70" s="1" t="s">
        <v>283</v>
      </c>
      <c r="D70" s="1" t="s">
        <v>373</v>
      </c>
      <c r="E70" s="1">
        <v>10</v>
      </c>
      <c r="F70" s="34">
        <f t="shared" si="2"/>
        <v>20</v>
      </c>
      <c r="G70" s="35">
        <v>25.29</v>
      </c>
      <c r="H70" s="35">
        <f t="shared" si="3"/>
        <v>505.8</v>
      </c>
    </row>
    <row r="71" spans="1:8" ht="25.5" x14ac:dyDescent="0.2">
      <c r="A71" s="1">
        <v>62</v>
      </c>
      <c r="B71" s="33" t="s">
        <v>395</v>
      </c>
      <c r="C71" s="1" t="s">
        <v>283</v>
      </c>
      <c r="D71" s="1" t="s">
        <v>380</v>
      </c>
      <c r="E71" s="1">
        <v>25</v>
      </c>
      <c r="F71" s="34">
        <f t="shared" si="2"/>
        <v>25</v>
      </c>
      <c r="G71" s="35">
        <v>92.67</v>
      </c>
      <c r="H71" s="35">
        <f t="shared" si="3"/>
        <v>2316.75</v>
      </c>
    </row>
    <row r="72" spans="1:8" ht="12.75" x14ac:dyDescent="0.2">
      <c r="A72" s="1">
        <v>63</v>
      </c>
      <c r="B72" s="33" t="s">
        <v>396</v>
      </c>
      <c r="C72" s="1" t="s">
        <v>283</v>
      </c>
      <c r="D72" s="1" t="s">
        <v>373</v>
      </c>
      <c r="E72" s="1">
        <v>30</v>
      </c>
      <c r="F72" s="34">
        <f t="shared" si="2"/>
        <v>60</v>
      </c>
      <c r="G72" s="35">
        <v>14.04</v>
      </c>
      <c r="H72" s="35">
        <f t="shared" si="3"/>
        <v>842.4</v>
      </c>
    </row>
    <row r="73" spans="1:8" ht="51" x14ac:dyDescent="0.2">
      <c r="A73" s="1">
        <v>64</v>
      </c>
      <c r="B73" s="33" t="s">
        <v>397</v>
      </c>
      <c r="C73" s="1" t="s">
        <v>283</v>
      </c>
      <c r="D73" s="1" t="s">
        <v>380</v>
      </c>
      <c r="E73" s="1">
        <v>6</v>
      </c>
      <c r="F73" s="34">
        <f t="shared" si="2"/>
        <v>6</v>
      </c>
      <c r="G73" s="35">
        <v>17.3</v>
      </c>
      <c r="H73" s="35">
        <f t="shared" si="3"/>
        <v>103.8</v>
      </c>
    </row>
    <row r="74" spans="1:8" ht="51" x14ac:dyDescent="0.2">
      <c r="A74" s="1">
        <v>65</v>
      </c>
      <c r="B74" s="33" t="s">
        <v>398</v>
      </c>
      <c r="C74" s="1" t="s">
        <v>283</v>
      </c>
      <c r="D74" s="1" t="s">
        <v>373</v>
      </c>
      <c r="E74" s="1">
        <v>25</v>
      </c>
      <c r="F74" s="34">
        <f t="shared" si="2"/>
        <v>50</v>
      </c>
      <c r="G74" s="35">
        <v>17.579999999999998</v>
      </c>
      <c r="H74" s="35">
        <f t="shared" si="3"/>
        <v>879</v>
      </c>
    </row>
    <row r="75" spans="1:8" ht="51" x14ac:dyDescent="0.2">
      <c r="A75" s="1">
        <v>66</v>
      </c>
      <c r="B75" s="33" t="s">
        <v>399</v>
      </c>
      <c r="C75" s="1" t="s">
        <v>283</v>
      </c>
      <c r="D75" s="1" t="s">
        <v>373</v>
      </c>
      <c r="E75" s="1">
        <v>10</v>
      </c>
      <c r="F75" s="34">
        <f t="shared" si="2"/>
        <v>20</v>
      </c>
      <c r="G75" s="35">
        <v>11.27</v>
      </c>
      <c r="H75" s="35">
        <f t="shared" si="3"/>
        <v>225.4</v>
      </c>
    </row>
    <row r="76" spans="1:8" ht="38.25" x14ac:dyDescent="0.2">
      <c r="A76" s="1">
        <v>67</v>
      </c>
      <c r="B76" s="33" t="s">
        <v>400</v>
      </c>
      <c r="C76" s="1" t="s">
        <v>283</v>
      </c>
      <c r="D76" s="1" t="s">
        <v>373</v>
      </c>
      <c r="E76" s="1">
        <v>25</v>
      </c>
      <c r="F76" s="34">
        <f t="shared" si="2"/>
        <v>50</v>
      </c>
      <c r="G76" s="35">
        <v>10.24</v>
      </c>
      <c r="H76" s="35">
        <f t="shared" si="3"/>
        <v>512</v>
      </c>
    </row>
    <row r="77" spans="1:8" ht="12.75" customHeight="1" x14ac:dyDescent="0.2">
      <c r="A77" s="1">
        <v>68</v>
      </c>
      <c r="B77" s="39" t="s">
        <v>401</v>
      </c>
      <c r="C77" s="1" t="s">
        <v>283</v>
      </c>
      <c r="D77" s="1" t="s">
        <v>380</v>
      </c>
      <c r="E77" s="1">
        <v>2</v>
      </c>
      <c r="F77" s="34">
        <f t="shared" si="2"/>
        <v>2</v>
      </c>
      <c r="G77" s="35">
        <v>135.05000000000001</v>
      </c>
      <c r="H77" s="35">
        <f t="shared" si="3"/>
        <v>270.10000000000002</v>
      </c>
    </row>
    <row r="78" spans="1:8" ht="12.75" customHeight="1" x14ac:dyDescent="0.2">
      <c r="A78" s="121" t="s">
        <v>402</v>
      </c>
      <c r="B78" s="79"/>
      <c r="C78" s="79"/>
      <c r="D78" s="79"/>
      <c r="E78" s="79"/>
      <c r="F78" s="79"/>
      <c r="G78" s="80"/>
      <c r="H78" s="50">
        <f>TRUNC(SUM(H50:H77),2)</f>
        <v>25376.45</v>
      </c>
    </row>
    <row r="79" spans="1:8" ht="12.75" customHeight="1" x14ac:dyDescent="0.2">
      <c r="A79" s="131" t="s">
        <v>403</v>
      </c>
      <c r="B79" s="79"/>
      <c r="C79" s="79"/>
      <c r="D79" s="79"/>
      <c r="E79" s="79"/>
      <c r="F79" s="79"/>
      <c r="G79" s="80"/>
      <c r="H79" s="51">
        <f>TRUNC(H46+H78,2)</f>
        <v>322727.45</v>
      </c>
    </row>
    <row r="80" spans="1:8" ht="12.75" customHeight="1" x14ac:dyDescent="0.2">
      <c r="A80" s="131" t="s">
        <v>404</v>
      </c>
      <c r="B80" s="79"/>
      <c r="C80" s="79"/>
      <c r="D80" s="79"/>
      <c r="E80" s="79"/>
      <c r="F80" s="79"/>
      <c r="G80" s="80"/>
      <c r="H80" s="51">
        <f>TRUNC(H79/12,2)</f>
        <v>26893.95</v>
      </c>
    </row>
    <row r="81" spans="1:8" ht="12.75" customHeight="1" x14ac:dyDescent="0.2">
      <c r="A81" s="131" t="s">
        <v>294</v>
      </c>
      <c r="B81" s="79"/>
      <c r="C81" s="79"/>
      <c r="D81" s="79"/>
      <c r="E81" s="79"/>
      <c r="F81" s="79"/>
      <c r="G81" s="80"/>
      <c r="H81" s="51">
        <f>TRUNC(H80/'PREÇO POR M²'!O3,2)</f>
        <v>814.37</v>
      </c>
    </row>
    <row r="82" spans="1:8" ht="12.75" customHeight="1" x14ac:dyDescent="0.2">
      <c r="A82" s="122" t="s">
        <v>295</v>
      </c>
      <c r="B82" s="79"/>
      <c r="C82" s="79"/>
      <c r="D82" s="79"/>
      <c r="E82" s="79"/>
      <c r="F82" s="79"/>
      <c r="G82" s="80"/>
      <c r="H82" s="52">
        <f>TRUNC(H81-(0.0925*H81),2)</f>
        <v>739.04</v>
      </c>
    </row>
  </sheetData>
  <mergeCells count="21">
    <mergeCell ref="A81:G81"/>
    <mergeCell ref="A82:G82"/>
    <mergeCell ref="E4:F4"/>
    <mergeCell ref="A46:G46"/>
    <mergeCell ref="A47:H47"/>
    <mergeCell ref="A48:A49"/>
    <mergeCell ref="B48:B49"/>
    <mergeCell ref="C48:C49"/>
    <mergeCell ref="D48:D49"/>
    <mergeCell ref="E48:F48"/>
    <mergeCell ref="G48:H48"/>
    <mergeCell ref="A78:G78"/>
    <mergeCell ref="A79:G79"/>
    <mergeCell ref="A80:G80"/>
    <mergeCell ref="A1:H1"/>
    <mergeCell ref="A3:H3"/>
    <mergeCell ref="A4:A5"/>
    <mergeCell ref="B4:B5"/>
    <mergeCell ref="C4:C5"/>
    <mergeCell ref="D4:D5"/>
    <mergeCell ref="G4:H4"/>
  </mergeCells>
  <pageMargins left="0.39374999999999999" right="0.39374999999999999" top="0.78749999999999998" bottom="0.39374999999999999" header="0" footer="0"/>
  <pageSetup paperSize="9" fitToHeight="0"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9D9D9"/>
    <pageSetUpPr fitToPage="1"/>
  </sheetPr>
  <dimension ref="A1:J27"/>
  <sheetViews>
    <sheetView workbookViewId="0"/>
  </sheetViews>
  <sheetFormatPr defaultColWidth="14.42578125" defaultRowHeight="15" customHeight="1" x14ac:dyDescent="0.2"/>
  <cols>
    <col min="1" max="1" width="7.28515625" customWidth="1"/>
    <col min="2" max="2" width="38.5703125" customWidth="1"/>
    <col min="3" max="3" width="15.42578125" customWidth="1"/>
    <col min="4" max="4" width="18.85546875" customWidth="1"/>
    <col min="5" max="5" width="17.85546875" customWidth="1"/>
    <col min="6" max="10" width="15.42578125" customWidth="1"/>
  </cols>
  <sheetData>
    <row r="1" spans="1:10" ht="18" x14ac:dyDescent="0.25">
      <c r="A1" s="78" t="s">
        <v>405</v>
      </c>
      <c r="B1" s="79"/>
      <c r="C1" s="79"/>
      <c r="D1" s="79"/>
      <c r="E1" s="79"/>
      <c r="F1" s="79"/>
      <c r="G1" s="79"/>
      <c r="H1" s="79"/>
      <c r="I1" s="79"/>
      <c r="J1" s="80"/>
    </row>
    <row r="2" spans="1:10" ht="12.75" customHeight="1" x14ac:dyDescent="0.2">
      <c r="A2" s="132" t="s">
        <v>406</v>
      </c>
      <c r="B2" s="79"/>
      <c r="C2" s="79"/>
      <c r="D2" s="79"/>
      <c r="E2" s="79"/>
      <c r="F2" s="79"/>
      <c r="G2" s="79"/>
      <c r="H2" s="79"/>
      <c r="I2" s="79"/>
      <c r="J2" s="80"/>
    </row>
    <row r="3" spans="1:10" ht="12.75" customHeight="1" x14ac:dyDescent="0.2">
      <c r="A3" s="22"/>
      <c r="B3" s="22"/>
      <c r="C3" s="22"/>
      <c r="D3" s="22"/>
      <c r="E3" s="22"/>
      <c r="F3" s="22"/>
      <c r="G3" s="22"/>
      <c r="H3" s="22"/>
      <c r="I3" s="22"/>
      <c r="J3" s="22"/>
    </row>
    <row r="4" spans="1:10" ht="49.5" customHeight="1" x14ac:dyDescent="0.2">
      <c r="A4" s="25" t="s">
        <v>305</v>
      </c>
      <c r="B4" s="25" t="s">
        <v>407</v>
      </c>
      <c r="C4" s="25" t="s">
        <v>408</v>
      </c>
      <c r="D4" s="25" t="s">
        <v>409</v>
      </c>
      <c r="E4" s="25" t="s">
        <v>410</v>
      </c>
      <c r="F4" s="25" t="s">
        <v>411</v>
      </c>
      <c r="G4" s="53" t="s">
        <v>412</v>
      </c>
      <c r="H4" s="53" t="s">
        <v>413</v>
      </c>
      <c r="I4" s="53" t="s">
        <v>414</v>
      </c>
      <c r="J4" s="53" t="s">
        <v>415</v>
      </c>
    </row>
    <row r="5" spans="1:10" ht="76.5" x14ac:dyDescent="0.2">
      <c r="A5" s="54">
        <v>1</v>
      </c>
      <c r="B5" s="55" t="s">
        <v>416</v>
      </c>
      <c r="C5" s="1">
        <v>2</v>
      </c>
      <c r="D5" s="56">
        <v>2074.83</v>
      </c>
      <c r="E5" s="56">
        <f t="shared" ref="E5:E23" si="0">AVERAGE(D5)</f>
        <v>2074.83</v>
      </c>
      <c r="F5" s="56">
        <f t="shared" ref="F5:F6" si="1">D5*C5</f>
        <v>4149.66</v>
      </c>
      <c r="G5" s="57">
        <f t="shared" ref="G5:G23" si="2">0.0025*F5</f>
        <v>10.37415</v>
      </c>
      <c r="H5" s="58">
        <v>60</v>
      </c>
      <c r="I5" s="57">
        <f t="shared" ref="I5:I23" si="3">IF(H5&lt;&gt;"",(F5)/H5,"")</f>
        <v>69.161000000000001</v>
      </c>
      <c r="J5" s="59">
        <f t="shared" ref="J5:J23" si="4">TRUNC(G5+I5,2)</f>
        <v>79.53</v>
      </c>
    </row>
    <row r="6" spans="1:10" ht="12.75" x14ac:dyDescent="0.2">
      <c r="A6" s="54">
        <v>2</v>
      </c>
      <c r="B6" s="55" t="s">
        <v>417</v>
      </c>
      <c r="C6" s="1">
        <v>2</v>
      </c>
      <c r="D6" s="56">
        <v>135.6</v>
      </c>
      <c r="E6" s="56">
        <f t="shared" si="0"/>
        <v>135.6</v>
      </c>
      <c r="F6" s="56">
        <f t="shared" si="1"/>
        <v>271.2</v>
      </c>
      <c r="G6" s="57">
        <f t="shared" si="2"/>
        <v>0.67799999999999994</v>
      </c>
      <c r="H6" s="58">
        <v>60</v>
      </c>
      <c r="I6" s="57">
        <f t="shared" si="3"/>
        <v>4.5199999999999996</v>
      </c>
      <c r="J6" s="59">
        <f t="shared" si="4"/>
        <v>5.19</v>
      </c>
    </row>
    <row r="7" spans="1:10" ht="25.5" x14ac:dyDescent="0.2">
      <c r="A7" s="54">
        <v>3</v>
      </c>
      <c r="B7" s="60" t="s">
        <v>418</v>
      </c>
      <c r="C7" s="1">
        <v>6</v>
      </c>
      <c r="D7" s="56">
        <v>365.71</v>
      </c>
      <c r="E7" s="56">
        <f t="shared" si="0"/>
        <v>365.71</v>
      </c>
      <c r="F7" s="56">
        <f t="shared" ref="F7:F23" si="5">E7*C7</f>
        <v>2194.2599999999998</v>
      </c>
      <c r="G7" s="57">
        <f t="shared" si="2"/>
        <v>5.4856499999999997</v>
      </c>
      <c r="H7" s="58">
        <v>60</v>
      </c>
      <c r="I7" s="57">
        <f t="shared" si="3"/>
        <v>36.570999999999998</v>
      </c>
      <c r="J7" s="59">
        <f t="shared" si="4"/>
        <v>42.05</v>
      </c>
    </row>
    <row r="8" spans="1:10" ht="25.5" x14ac:dyDescent="0.2">
      <c r="A8" s="54">
        <v>4</v>
      </c>
      <c r="B8" s="60" t="s">
        <v>419</v>
      </c>
      <c r="C8" s="1">
        <v>6</v>
      </c>
      <c r="D8" s="56">
        <v>1326.37</v>
      </c>
      <c r="E8" s="56">
        <f t="shared" si="0"/>
        <v>1326.37</v>
      </c>
      <c r="F8" s="56">
        <f t="shared" si="5"/>
        <v>7958.2199999999993</v>
      </c>
      <c r="G8" s="57">
        <f t="shared" si="2"/>
        <v>19.89555</v>
      </c>
      <c r="H8" s="58">
        <v>60</v>
      </c>
      <c r="I8" s="57">
        <f t="shared" si="3"/>
        <v>132.637</v>
      </c>
      <c r="J8" s="59">
        <f t="shared" si="4"/>
        <v>152.53</v>
      </c>
    </row>
    <row r="9" spans="1:10" ht="12.75" x14ac:dyDescent="0.2">
      <c r="A9" s="54">
        <v>5</v>
      </c>
      <c r="B9" s="39" t="s">
        <v>420</v>
      </c>
      <c r="C9" s="1">
        <v>5</v>
      </c>
      <c r="D9" s="56">
        <v>134.96</v>
      </c>
      <c r="E9" s="56">
        <f t="shared" si="0"/>
        <v>134.96</v>
      </c>
      <c r="F9" s="56">
        <f t="shared" si="5"/>
        <v>674.80000000000007</v>
      </c>
      <c r="G9" s="57">
        <f t="shared" si="2"/>
        <v>1.6870000000000003</v>
      </c>
      <c r="H9" s="58">
        <v>60</v>
      </c>
      <c r="I9" s="57">
        <f t="shared" si="3"/>
        <v>11.246666666666668</v>
      </c>
      <c r="J9" s="59">
        <f t="shared" si="4"/>
        <v>12.93</v>
      </c>
    </row>
    <row r="10" spans="1:10" ht="12.75" x14ac:dyDescent="0.2">
      <c r="A10" s="54">
        <v>6</v>
      </c>
      <c r="B10" s="61" t="s">
        <v>421</v>
      </c>
      <c r="C10" s="1">
        <v>3</v>
      </c>
      <c r="D10" s="56">
        <v>186.63</v>
      </c>
      <c r="E10" s="56">
        <f t="shared" si="0"/>
        <v>186.63</v>
      </c>
      <c r="F10" s="56">
        <f t="shared" si="5"/>
        <v>559.89</v>
      </c>
      <c r="G10" s="57">
        <f t="shared" si="2"/>
        <v>1.3997249999999999</v>
      </c>
      <c r="H10" s="58">
        <v>60</v>
      </c>
      <c r="I10" s="57">
        <f t="shared" si="3"/>
        <v>9.3315000000000001</v>
      </c>
      <c r="J10" s="59">
        <f t="shared" si="4"/>
        <v>10.73</v>
      </c>
    </row>
    <row r="11" spans="1:10" ht="38.25" x14ac:dyDescent="0.2">
      <c r="A11" s="54">
        <v>7</v>
      </c>
      <c r="B11" s="55" t="s">
        <v>422</v>
      </c>
      <c r="C11" s="54">
        <v>10</v>
      </c>
      <c r="D11" s="56">
        <v>1362.39</v>
      </c>
      <c r="E11" s="56">
        <f t="shared" si="0"/>
        <v>1362.39</v>
      </c>
      <c r="F11" s="56">
        <f t="shared" si="5"/>
        <v>13623.900000000001</v>
      </c>
      <c r="G11" s="57">
        <f t="shared" si="2"/>
        <v>34.059750000000001</v>
      </c>
      <c r="H11" s="58">
        <v>60</v>
      </c>
      <c r="I11" s="57">
        <f t="shared" si="3"/>
        <v>227.06500000000003</v>
      </c>
      <c r="J11" s="59">
        <f t="shared" si="4"/>
        <v>261.12</v>
      </c>
    </row>
    <row r="12" spans="1:10" ht="25.5" x14ac:dyDescent="0.2">
      <c r="A12" s="54">
        <v>8</v>
      </c>
      <c r="B12" s="60" t="s">
        <v>423</v>
      </c>
      <c r="C12" s="54">
        <v>2</v>
      </c>
      <c r="D12" s="56">
        <v>31.63</v>
      </c>
      <c r="E12" s="56">
        <f t="shared" si="0"/>
        <v>31.63</v>
      </c>
      <c r="F12" s="56">
        <f t="shared" si="5"/>
        <v>63.26</v>
      </c>
      <c r="G12" s="57">
        <f t="shared" si="2"/>
        <v>0.15814999999999999</v>
      </c>
      <c r="H12" s="58">
        <v>60</v>
      </c>
      <c r="I12" s="57">
        <f t="shared" si="3"/>
        <v>1.0543333333333333</v>
      </c>
      <c r="J12" s="59">
        <f t="shared" si="4"/>
        <v>1.21</v>
      </c>
    </row>
    <row r="13" spans="1:10" ht="12.75" x14ac:dyDescent="0.2">
      <c r="A13" s="54">
        <v>9</v>
      </c>
      <c r="B13" s="62" t="s">
        <v>424</v>
      </c>
      <c r="C13" s="54">
        <v>2</v>
      </c>
      <c r="D13" s="56">
        <v>19.68</v>
      </c>
      <c r="E13" s="56">
        <f t="shared" si="0"/>
        <v>19.68</v>
      </c>
      <c r="F13" s="56">
        <f t="shared" si="5"/>
        <v>39.36</v>
      </c>
      <c r="G13" s="57">
        <f t="shared" si="2"/>
        <v>9.8400000000000001E-2</v>
      </c>
      <c r="H13" s="58">
        <v>60</v>
      </c>
      <c r="I13" s="57">
        <f t="shared" si="3"/>
        <v>0.65600000000000003</v>
      </c>
      <c r="J13" s="59">
        <f t="shared" si="4"/>
        <v>0.75</v>
      </c>
    </row>
    <row r="14" spans="1:10" ht="76.5" x14ac:dyDescent="0.2">
      <c r="A14" s="54">
        <v>10</v>
      </c>
      <c r="B14" s="55" t="s">
        <v>425</v>
      </c>
      <c r="C14" s="54">
        <v>4</v>
      </c>
      <c r="D14" s="56">
        <v>111.66</v>
      </c>
      <c r="E14" s="56">
        <f t="shared" si="0"/>
        <v>111.66</v>
      </c>
      <c r="F14" s="56">
        <f t="shared" si="5"/>
        <v>446.64</v>
      </c>
      <c r="G14" s="57">
        <f t="shared" si="2"/>
        <v>1.1166</v>
      </c>
      <c r="H14" s="58">
        <v>60</v>
      </c>
      <c r="I14" s="57">
        <f t="shared" si="3"/>
        <v>7.444</v>
      </c>
      <c r="J14" s="59">
        <f t="shared" si="4"/>
        <v>8.56</v>
      </c>
    </row>
    <row r="15" spans="1:10" ht="165.75" x14ac:dyDescent="0.2">
      <c r="A15" s="54">
        <v>11</v>
      </c>
      <c r="B15" s="39" t="s">
        <v>426</v>
      </c>
      <c r="C15" s="54">
        <v>2</v>
      </c>
      <c r="D15" s="56">
        <v>444</v>
      </c>
      <c r="E15" s="56">
        <f t="shared" si="0"/>
        <v>444</v>
      </c>
      <c r="F15" s="56">
        <f t="shared" si="5"/>
        <v>888</v>
      </c>
      <c r="G15" s="57">
        <f t="shared" si="2"/>
        <v>2.2200000000000002</v>
      </c>
      <c r="H15" s="58">
        <v>60</v>
      </c>
      <c r="I15" s="57">
        <f t="shared" si="3"/>
        <v>14.8</v>
      </c>
      <c r="J15" s="59">
        <f t="shared" si="4"/>
        <v>17.02</v>
      </c>
    </row>
    <row r="16" spans="1:10" ht="89.25" x14ac:dyDescent="0.2">
      <c r="A16" s="54">
        <v>12</v>
      </c>
      <c r="B16" s="55" t="s">
        <v>427</v>
      </c>
      <c r="C16" s="54">
        <v>10</v>
      </c>
      <c r="D16" s="56">
        <v>1288</v>
      </c>
      <c r="E16" s="56">
        <f t="shared" si="0"/>
        <v>1288</v>
      </c>
      <c r="F16" s="56">
        <f t="shared" si="5"/>
        <v>12880</v>
      </c>
      <c r="G16" s="57">
        <f t="shared" si="2"/>
        <v>32.200000000000003</v>
      </c>
      <c r="H16" s="58">
        <v>60</v>
      </c>
      <c r="I16" s="57">
        <f t="shared" si="3"/>
        <v>214.66666666666666</v>
      </c>
      <c r="J16" s="59">
        <f t="shared" si="4"/>
        <v>246.86</v>
      </c>
    </row>
    <row r="17" spans="1:10" ht="63.75" x14ac:dyDescent="0.2">
      <c r="A17" s="54">
        <v>13</v>
      </c>
      <c r="B17" s="39" t="s">
        <v>428</v>
      </c>
      <c r="C17" s="1">
        <v>2</v>
      </c>
      <c r="D17" s="56">
        <v>532.04</v>
      </c>
      <c r="E17" s="56">
        <f t="shared" si="0"/>
        <v>532.04</v>
      </c>
      <c r="F17" s="56">
        <f t="shared" si="5"/>
        <v>1064.08</v>
      </c>
      <c r="G17" s="57">
        <f t="shared" si="2"/>
        <v>2.6601999999999997</v>
      </c>
      <c r="H17" s="58">
        <v>60</v>
      </c>
      <c r="I17" s="57">
        <f t="shared" si="3"/>
        <v>17.734666666666666</v>
      </c>
      <c r="J17" s="59">
        <f t="shared" si="4"/>
        <v>20.39</v>
      </c>
    </row>
    <row r="18" spans="1:10" ht="114.75" x14ac:dyDescent="0.2">
      <c r="A18" s="54">
        <v>14</v>
      </c>
      <c r="B18" s="60" t="s">
        <v>429</v>
      </c>
      <c r="C18" s="54">
        <v>2</v>
      </c>
      <c r="D18" s="56">
        <v>17833.330000000002</v>
      </c>
      <c r="E18" s="56">
        <f t="shared" si="0"/>
        <v>17833.330000000002</v>
      </c>
      <c r="F18" s="56">
        <f t="shared" si="5"/>
        <v>35666.660000000003</v>
      </c>
      <c r="G18" s="57">
        <f t="shared" si="2"/>
        <v>89.166650000000004</v>
      </c>
      <c r="H18" s="58">
        <v>60</v>
      </c>
      <c r="I18" s="57">
        <f t="shared" si="3"/>
        <v>594.44433333333336</v>
      </c>
      <c r="J18" s="59">
        <f t="shared" si="4"/>
        <v>683.61</v>
      </c>
    </row>
    <row r="19" spans="1:10" ht="25.5" x14ac:dyDescent="0.2">
      <c r="A19" s="54">
        <v>15</v>
      </c>
      <c r="B19" s="60" t="s">
        <v>430</v>
      </c>
      <c r="C19" s="54">
        <v>1</v>
      </c>
      <c r="D19" s="56">
        <v>533.15</v>
      </c>
      <c r="E19" s="56">
        <f t="shared" si="0"/>
        <v>533.15</v>
      </c>
      <c r="F19" s="56">
        <f t="shared" si="5"/>
        <v>533.15</v>
      </c>
      <c r="G19" s="57">
        <f t="shared" si="2"/>
        <v>1.332875</v>
      </c>
      <c r="H19" s="58">
        <v>60</v>
      </c>
      <c r="I19" s="57">
        <f t="shared" si="3"/>
        <v>8.8858333333333324</v>
      </c>
      <c r="J19" s="59">
        <f t="shared" si="4"/>
        <v>10.210000000000001</v>
      </c>
    </row>
    <row r="20" spans="1:10" ht="63.75" x14ac:dyDescent="0.2">
      <c r="A20" s="54">
        <v>16</v>
      </c>
      <c r="B20" s="60" t="s">
        <v>431</v>
      </c>
      <c r="C20" s="54">
        <v>1</v>
      </c>
      <c r="D20" s="56">
        <v>713.07</v>
      </c>
      <c r="E20" s="56">
        <f t="shared" si="0"/>
        <v>713.07</v>
      </c>
      <c r="F20" s="56">
        <f t="shared" si="5"/>
        <v>713.07</v>
      </c>
      <c r="G20" s="57">
        <f t="shared" si="2"/>
        <v>1.7826750000000002</v>
      </c>
      <c r="H20" s="58">
        <v>60</v>
      </c>
      <c r="I20" s="57">
        <f t="shared" si="3"/>
        <v>11.884500000000001</v>
      </c>
      <c r="J20" s="59">
        <f t="shared" si="4"/>
        <v>13.66</v>
      </c>
    </row>
    <row r="21" spans="1:10" ht="12.75" x14ac:dyDescent="0.2">
      <c r="A21" s="54">
        <v>17</v>
      </c>
      <c r="B21" s="60" t="s">
        <v>432</v>
      </c>
      <c r="C21" s="54">
        <v>1</v>
      </c>
      <c r="D21" s="56">
        <v>49.43</v>
      </c>
      <c r="E21" s="56">
        <f t="shared" si="0"/>
        <v>49.43</v>
      </c>
      <c r="F21" s="56">
        <f t="shared" si="5"/>
        <v>49.43</v>
      </c>
      <c r="G21" s="57">
        <f t="shared" si="2"/>
        <v>0.123575</v>
      </c>
      <c r="H21" s="58">
        <v>60</v>
      </c>
      <c r="I21" s="57">
        <f t="shared" si="3"/>
        <v>0.82383333333333331</v>
      </c>
      <c r="J21" s="59">
        <f t="shared" si="4"/>
        <v>0.94</v>
      </c>
    </row>
    <row r="22" spans="1:10" ht="51" x14ac:dyDescent="0.2">
      <c r="A22" s="54">
        <v>18</v>
      </c>
      <c r="B22" s="60" t="s">
        <v>433</v>
      </c>
      <c r="C22" s="54">
        <v>1</v>
      </c>
      <c r="D22" s="56">
        <v>1403.46</v>
      </c>
      <c r="E22" s="56">
        <f t="shared" si="0"/>
        <v>1403.46</v>
      </c>
      <c r="F22" s="56">
        <f t="shared" si="5"/>
        <v>1403.46</v>
      </c>
      <c r="G22" s="57">
        <f t="shared" si="2"/>
        <v>3.5086500000000003</v>
      </c>
      <c r="H22" s="58">
        <v>60</v>
      </c>
      <c r="I22" s="57">
        <f t="shared" si="3"/>
        <v>23.391000000000002</v>
      </c>
      <c r="J22" s="59">
        <f t="shared" si="4"/>
        <v>26.89</v>
      </c>
    </row>
    <row r="23" spans="1:10" ht="25.5" x14ac:dyDescent="0.2">
      <c r="A23" s="54">
        <v>19</v>
      </c>
      <c r="B23" s="60" t="s">
        <v>434</v>
      </c>
      <c r="C23" s="54">
        <v>1</v>
      </c>
      <c r="D23" s="56">
        <v>122.93</v>
      </c>
      <c r="E23" s="56">
        <f t="shared" si="0"/>
        <v>122.93</v>
      </c>
      <c r="F23" s="56">
        <f t="shared" si="5"/>
        <v>122.93</v>
      </c>
      <c r="G23" s="57">
        <f t="shared" si="2"/>
        <v>0.30732500000000001</v>
      </c>
      <c r="H23" s="58">
        <v>60</v>
      </c>
      <c r="I23" s="57">
        <f t="shared" si="3"/>
        <v>2.0488333333333335</v>
      </c>
      <c r="J23" s="59">
        <f t="shared" si="4"/>
        <v>2.35</v>
      </c>
    </row>
    <row r="24" spans="1:10" ht="12.75" customHeight="1" x14ac:dyDescent="0.2">
      <c r="A24" s="131" t="s">
        <v>435</v>
      </c>
      <c r="B24" s="79"/>
      <c r="C24" s="79"/>
      <c r="D24" s="79"/>
      <c r="E24" s="79"/>
      <c r="F24" s="79"/>
      <c r="G24" s="79"/>
      <c r="H24" s="79"/>
      <c r="I24" s="80"/>
      <c r="J24" s="63">
        <f>TRUNC(SUM(J5:J23),2)</f>
        <v>1596.53</v>
      </c>
    </row>
    <row r="25" spans="1:10" ht="12.75" customHeight="1" x14ac:dyDescent="0.2">
      <c r="A25" s="131" t="s">
        <v>293</v>
      </c>
      <c r="B25" s="79"/>
      <c r="C25" s="79"/>
      <c r="D25" s="79"/>
      <c r="E25" s="79"/>
      <c r="F25" s="79"/>
      <c r="G25" s="79"/>
      <c r="H25" s="79"/>
      <c r="I25" s="80"/>
      <c r="J25" s="63">
        <f>TRUNC(J24*12,2)</f>
        <v>19158.36</v>
      </c>
    </row>
    <row r="26" spans="1:10" ht="12.75" customHeight="1" x14ac:dyDescent="0.2">
      <c r="A26" s="131" t="s">
        <v>294</v>
      </c>
      <c r="B26" s="79"/>
      <c r="C26" s="79"/>
      <c r="D26" s="79"/>
      <c r="E26" s="79"/>
      <c r="F26" s="79"/>
      <c r="G26" s="79"/>
      <c r="H26" s="79"/>
      <c r="I26" s="80"/>
      <c r="J26" s="63">
        <f>TRUNC(J24/'PREÇO POR M²'!O3,2)</f>
        <v>48.34</v>
      </c>
    </row>
    <row r="27" spans="1:10" ht="12.75" customHeight="1" x14ac:dyDescent="0.2">
      <c r="A27" s="122" t="s">
        <v>295</v>
      </c>
      <c r="B27" s="79"/>
      <c r="C27" s="79"/>
      <c r="D27" s="79"/>
      <c r="E27" s="79"/>
      <c r="F27" s="79"/>
      <c r="G27" s="79"/>
      <c r="H27" s="79"/>
      <c r="I27" s="80"/>
      <c r="J27" s="52">
        <f>TRUNC(J26-(0.0925*J26),2)</f>
        <v>43.86</v>
      </c>
    </row>
  </sheetData>
  <mergeCells count="6">
    <mergeCell ref="A27:I27"/>
    <mergeCell ref="A1:J1"/>
    <mergeCell ref="A2:J2"/>
    <mergeCell ref="A24:I24"/>
    <mergeCell ref="A25:I25"/>
    <mergeCell ref="A26:I26"/>
  </mergeCells>
  <pageMargins left="0.51180555555555496" right="0.51180555555555496" top="0.78749999999999998" bottom="0.78749999999999998" header="0" footer="0"/>
  <pageSetup paperSize="9" fitToHeight="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ENCARREGADO</vt:lpstr>
      <vt:lpstr>SERVENTE-NORMAL</vt:lpstr>
      <vt:lpstr>SERVENTE-INSALUBRIDADE-10%</vt:lpstr>
      <vt:lpstr>SERVENTE-INSALUBRIDADE-20%</vt:lpstr>
      <vt:lpstr>SERVENTE-INSALUBRIDADE-40%</vt:lpstr>
      <vt:lpstr>BDI</vt:lpstr>
      <vt:lpstr>EPI E UNIFORMES</vt:lpstr>
      <vt:lpstr>INSUMOS</vt:lpstr>
      <vt:lpstr>EQUIPAMENTOS</vt:lpstr>
      <vt:lpstr>PREÇO POR M²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cogep</dc:creator>
  <cp:lastModifiedBy>Emilson</cp:lastModifiedBy>
  <cp:lastPrinted>2021-07-09T18:03:44Z</cp:lastPrinted>
  <dcterms:created xsi:type="dcterms:W3CDTF">2010-02-10T17:23:02Z</dcterms:created>
  <dcterms:modified xsi:type="dcterms:W3CDTF">2021-07-09T18:11:41Z</dcterms:modified>
</cp:coreProperties>
</file>