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Emilson\Desktop\IFMT - Home Office 03.04.2021\Limpeza\Edital Pregão 32.2021\ANEXO IV - Planilhas de Custos Editáveis\"/>
    </mc:Choice>
  </mc:AlternateContent>
  <bookViews>
    <workbookView xWindow="0" yWindow="0" windowWidth="20490" windowHeight="7755"/>
  </bookViews>
  <sheets>
    <sheet name="SERVENTE-NORMAL" sheetId="1" r:id="rId1"/>
    <sheet name="SERVENTE-INSALUBRIDADE-10%" sheetId="2" r:id="rId2"/>
    <sheet name="BDI" sheetId="3" r:id="rId3"/>
    <sheet name="EPI E UNIFORMES" sheetId="4" r:id="rId4"/>
    <sheet name="INSUMOS" sheetId="5" r:id="rId5"/>
    <sheet name="EQUIPAMENTOS" sheetId="6" r:id="rId6"/>
    <sheet name="PREÇO POR M²" sheetId="7" r:id="rId7"/>
  </sheets>
  <definedNames>
    <definedName name="____xlnm.Print_Area_2">#REF!</definedName>
    <definedName name="____xlnm.Print_Area_3">#REF!</definedName>
    <definedName name="___xlnm.Print_Area_2" localSheetId="4">#REF!</definedName>
    <definedName name="___xlnm.Print_Area_2">#REF!</definedName>
    <definedName name="___xlnm.Print_Area_3" localSheetId="4">#REF!</definedName>
    <definedName name="___xlnm.Print_Area_3">#REF!</definedName>
    <definedName name="__xlnm.Print_Area_2" localSheetId="4">#REF!</definedName>
    <definedName name="__xlnm.Print_Area_2">#REF!</definedName>
    <definedName name="__xlnm.Print_Area_3" localSheetId="4">#REF!</definedName>
    <definedName name="__xlnm.Print_Area_3">#REF!</definedName>
    <definedName name="Excel_BuiltIn_Print_Area_1">#REF!</definedName>
    <definedName name="Excel_BuiltIn_Print_Area_1_2">#REF!</definedName>
    <definedName name="Excel_BuiltIn_Print_Area_2">#REF!</definedName>
    <definedName name="Excel_BuiltIn_Print_Area_2_2">#REF!</definedName>
    <definedName name="Teste">#REF!</definedName>
  </definedNames>
  <calcPr calcId="152511"/>
  <extLst>
    <ext uri="GoogleSheetsCustomDataVersion1">
      <go:sheetsCustomData xmlns:go="http://customooxmlschemas.google.com/" r:id="rId11" roundtripDataSignature="AMtx7mhogGjGOmoTkAgrOfGyqhw27Aeyeg=="/>
    </ext>
  </extLst>
</workbook>
</file>

<file path=xl/calcChain.xml><?xml version="1.0" encoding="utf-8"?>
<calcChain xmlns="http://schemas.openxmlformats.org/spreadsheetml/2006/main">
  <c r="J18" i="7" l="1"/>
  <c r="G18" i="7"/>
  <c r="H18" i="7" s="1"/>
  <c r="J17" i="7"/>
  <c r="G17" i="7"/>
  <c r="H17" i="7" s="1"/>
  <c r="J16" i="7"/>
  <c r="G16" i="7"/>
  <c r="H16" i="7" s="1"/>
  <c r="E16" i="7"/>
  <c r="J15" i="7"/>
  <c r="G15" i="7"/>
  <c r="H15" i="7" s="1"/>
  <c r="L4" i="7" s="1"/>
  <c r="J14" i="7"/>
  <c r="H14" i="7"/>
  <c r="G14" i="7"/>
  <c r="J13" i="7"/>
  <c r="G13" i="7"/>
  <c r="H13" i="7" s="1"/>
  <c r="J12" i="7"/>
  <c r="H12" i="7"/>
  <c r="G12" i="7"/>
  <c r="J11" i="7"/>
  <c r="G11" i="7"/>
  <c r="H11" i="7" s="1"/>
  <c r="E21" i="6"/>
  <c r="F21" i="6" s="1"/>
  <c r="F20" i="6"/>
  <c r="E20" i="6"/>
  <c r="E19" i="6"/>
  <c r="F19" i="6" s="1"/>
  <c r="I19" i="6" s="1"/>
  <c r="E18" i="6"/>
  <c r="F18" i="6" s="1"/>
  <c r="G18" i="6" s="1"/>
  <c r="E17" i="6"/>
  <c r="F17" i="6" s="1"/>
  <c r="F16" i="6"/>
  <c r="E16" i="6"/>
  <c r="E15" i="6"/>
  <c r="F15" i="6" s="1"/>
  <c r="I15" i="6" s="1"/>
  <c r="E14" i="6"/>
  <c r="F14" i="6" s="1"/>
  <c r="G14" i="6" s="1"/>
  <c r="E13" i="6"/>
  <c r="F13" i="6" s="1"/>
  <c r="F12" i="6"/>
  <c r="E12" i="6"/>
  <c r="E11" i="6"/>
  <c r="F11" i="6" s="1"/>
  <c r="I11" i="6" s="1"/>
  <c r="E10" i="6"/>
  <c r="F10" i="6" s="1"/>
  <c r="G10" i="6" s="1"/>
  <c r="E9" i="6"/>
  <c r="F9" i="6" s="1"/>
  <c r="F8" i="6"/>
  <c r="E8" i="6"/>
  <c r="I7" i="6"/>
  <c r="G7" i="6"/>
  <c r="J7" i="6" s="1"/>
  <c r="E7" i="6"/>
  <c r="F7" i="6" s="1"/>
  <c r="I6" i="6"/>
  <c r="F6" i="6"/>
  <c r="G6" i="6" s="1"/>
  <c r="J6" i="6" s="1"/>
  <c r="E6" i="6"/>
  <c r="F5" i="6"/>
  <c r="E5" i="6"/>
  <c r="F72" i="5"/>
  <c r="H72" i="5" s="1"/>
  <c r="H71" i="5"/>
  <c r="F71" i="5"/>
  <c r="F70" i="5"/>
  <c r="H70" i="5" s="1"/>
  <c r="H69" i="5"/>
  <c r="F69" i="5"/>
  <c r="F68" i="5"/>
  <c r="H68" i="5" s="1"/>
  <c r="H67" i="5"/>
  <c r="F67" i="5"/>
  <c r="F66" i="5"/>
  <c r="H66" i="5" s="1"/>
  <c r="H65" i="5"/>
  <c r="F65" i="5"/>
  <c r="F64" i="5"/>
  <c r="H64" i="5" s="1"/>
  <c r="H63" i="5"/>
  <c r="F63" i="5"/>
  <c r="F62" i="5"/>
  <c r="H62" i="5" s="1"/>
  <c r="H61" i="5"/>
  <c r="F61" i="5"/>
  <c r="G60" i="5"/>
  <c r="F60" i="5"/>
  <c r="H60" i="5" s="1"/>
  <c r="G59" i="5"/>
  <c r="F59" i="5"/>
  <c r="H59" i="5" s="1"/>
  <c r="H58" i="5"/>
  <c r="F58" i="5"/>
  <c r="F57" i="5"/>
  <c r="H57" i="5" s="1"/>
  <c r="H56" i="5"/>
  <c r="F56" i="5"/>
  <c r="F55" i="5"/>
  <c r="H55" i="5" s="1"/>
  <c r="H54" i="5"/>
  <c r="F54" i="5"/>
  <c r="F53" i="5"/>
  <c r="H53" i="5" s="1"/>
  <c r="H52" i="5"/>
  <c r="F52" i="5"/>
  <c r="F51" i="5"/>
  <c r="H51" i="5" s="1"/>
  <c r="H50" i="5"/>
  <c r="F50" i="5"/>
  <c r="F49" i="5"/>
  <c r="H49" i="5" s="1"/>
  <c r="H48" i="5"/>
  <c r="F48" i="5"/>
  <c r="F47" i="5"/>
  <c r="H47" i="5" s="1"/>
  <c r="H46" i="5"/>
  <c r="F46" i="5"/>
  <c r="F45" i="5"/>
  <c r="H45" i="5" s="1"/>
  <c r="H40" i="5"/>
  <c r="F40" i="5"/>
  <c r="F39" i="5"/>
  <c r="H39" i="5" s="1"/>
  <c r="H38" i="5"/>
  <c r="F38" i="5"/>
  <c r="F37" i="5"/>
  <c r="H37" i="5" s="1"/>
  <c r="H36" i="5"/>
  <c r="F36" i="5"/>
  <c r="F35" i="5"/>
  <c r="H35" i="5" s="1"/>
  <c r="H34" i="5"/>
  <c r="F34" i="5"/>
  <c r="F33" i="5"/>
  <c r="H33" i="5" s="1"/>
  <c r="H32" i="5"/>
  <c r="F32" i="5"/>
  <c r="F31" i="5"/>
  <c r="H31" i="5" s="1"/>
  <c r="H30" i="5"/>
  <c r="F30" i="5"/>
  <c r="F29" i="5"/>
  <c r="H29" i="5" s="1"/>
  <c r="H28" i="5"/>
  <c r="F28" i="5"/>
  <c r="F27" i="5"/>
  <c r="H27" i="5" s="1"/>
  <c r="H26" i="5"/>
  <c r="F26" i="5"/>
  <c r="F25" i="5"/>
  <c r="H25" i="5" s="1"/>
  <c r="H24" i="5"/>
  <c r="F24" i="5"/>
  <c r="F23" i="5"/>
  <c r="H23" i="5" s="1"/>
  <c r="H22" i="5"/>
  <c r="F22" i="5"/>
  <c r="F21" i="5"/>
  <c r="H21" i="5" s="1"/>
  <c r="H20" i="5"/>
  <c r="F20" i="5"/>
  <c r="F19" i="5"/>
  <c r="H19" i="5" s="1"/>
  <c r="H18" i="5"/>
  <c r="F18" i="5"/>
  <c r="F17" i="5"/>
  <c r="H17" i="5" s="1"/>
  <c r="H16" i="5"/>
  <c r="F16" i="5"/>
  <c r="F15" i="5"/>
  <c r="H15" i="5" s="1"/>
  <c r="H14" i="5"/>
  <c r="F14" i="5"/>
  <c r="F13" i="5"/>
  <c r="H13" i="5" s="1"/>
  <c r="H12" i="5"/>
  <c r="F12" i="5"/>
  <c r="F11" i="5"/>
  <c r="H11" i="5" s="1"/>
  <c r="H10" i="5"/>
  <c r="F10" i="5"/>
  <c r="F9" i="5"/>
  <c r="H9" i="5" s="1"/>
  <c r="H8" i="5"/>
  <c r="F8" i="5"/>
  <c r="F7" i="5"/>
  <c r="H7" i="5" s="1"/>
  <c r="H6" i="5"/>
  <c r="F6" i="5"/>
  <c r="F19" i="4"/>
  <c r="F18" i="4"/>
  <c r="F17" i="4"/>
  <c r="F16" i="4"/>
  <c r="F9" i="4"/>
  <c r="F8" i="4"/>
  <c r="F7" i="4"/>
  <c r="F6" i="4"/>
  <c r="F10" i="4" s="1"/>
  <c r="F11" i="4" s="1"/>
  <c r="F12" i="4" s="1"/>
  <c r="H6" i="3"/>
  <c r="H5" i="3"/>
  <c r="C131" i="2"/>
  <c r="C129" i="2"/>
  <c r="D110" i="2"/>
  <c r="D115" i="2" s="1"/>
  <c r="D69" i="2"/>
  <c r="D66" i="2"/>
  <c r="C61" i="2"/>
  <c r="D60" i="2"/>
  <c r="D59" i="2"/>
  <c r="D39" i="2"/>
  <c r="D32" i="2"/>
  <c r="D25" i="2"/>
  <c r="D22" i="2"/>
  <c r="D145" i="1"/>
  <c r="C131" i="1"/>
  <c r="C129" i="1"/>
  <c r="D110" i="1"/>
  <c r="D115" i="1" s="1"/>
  <c r="D103" i="1"/>
  <c r="D102" i="1"/>
  <c r="D86" i="1"/>
  <c r="D87" i="1" s="1"/>
  <c r="D69" i="1"/>
  <c r="D72" i="1" s="1"/>
  <c r="D78" i="1" s="1"/>
  <c r="D66" i="1"/>
  <c r="C61" i="1"/>
  <c r="D60" i="1"/>
  <c r="D57" i="1"/>
  <c r="D56" i="1"/>
  <c r="D53" i="1"/>
  <c r="D46" i="1"/>
  <c r="D45" i="1"/>
  <c r="D39" i="1"/>
  <c r="D25" i="1"/>
  <c r="D22" i="1"/>
  <c r="H41" i="5" l="1"/>
  <c r="D120" i="1"/>
  <c r="D120" i="2"/>
  <c r="D93" i="1"/>
  <c r="H19" i="7"/>
  <c r="L3" i="7" s="1"/>
  <c r="I5" i="6"/>
  <c r="G5" i="6"/>
  <c r="J5" i="6" s="1"/>
  <c r="G11" i="6"/>
  <c r="J11" i="6" s="1"/>
  <c r="G15" i="6"/>
  <c r="J15" i="6" s="1"/>
  <c r="G19" i="6"/>
  <c r="J19" i="6" s="1"/>
  <c r="D48" i="1"/>
  <c r="D47" i="1"/>
  <c r="I9" i="6"/>
  <c r="G9" i="6"/>
  <c r="J9" i="6" s="1"/>
  <c r="I13" i="6"/>
  <c r="G13" i="6"/>
  <c r="I17" i="6"/>
  <c r="G17" i="6"/>
  <c r="J17" i="6" s="1"/>
  <c r="I21" i="6"/>
  <c r="G21" i="6"/>
  <c r="D104" i="2"/>
  <c r="D58" i="2"/>
  <c r="D54" i="2"/>
  <c r="D145" i="2"/>
  <c r="D86" i="2"/>
  <c r="D87" i="2" s="1"/>
  <c r="D57" i="2"/>
  <c r="D53" i="2"/>
  <c r="D46" i="2"/>
  <c r="D83" i="2" s="1"/>
  <c r="D55" i="2"/>
  <c r="D102" i="2"/>
  <c r="D103" i="2" s="1"/>
  <c r="F20" i="4"/>
  <c r="F21" i="4" s="1"/>
  <c r="F22" i="4" s="1"/>
  <c r="J14" i="6"/>
  <c r="D45" i="2"/>
  <c r="D56" i="2"/>
  <c r="D72" i="2"/>
  <c r="D78" i="2" s="1"/>
  <c r="H73" i="5"/>
  <c r="G8" i="6"/>
  <c r="I8" i="6"/>
  <c r="I10" i="6"/>
  <c r="J10" i="6" s="1"/>
  <c r="G12" i="6"/>
  <c r="J12" i="6" s="1"/>
  <c r="I12" i="6"/>
  <c r="I14" i="6"/>
  <c r="I16" i="6"/>
  <c r="G16" i="6"/>
  <c r="J16" i="6" s="1"/>
  <c r="I18" i="6"/>
  <c r="J18" i="6" s="1"/>
  <c r="I20" i="6"/>
  <c r="G20" i="6"/>
  <c r="J20" i="6" s="1"/>
  <c r="D54" i="1"/>
  <c r="D61" i="1" s="1"/>
  <c r="D77" i="1" s="1"/>
  <c r="D58" i="1"/>
  <c r="D83" i="1"/>
  <c r="D104" i="1"/>
  <c r="D55" i="1"/>
  <c r="D59" i="1"/>
  <c r="D84" i="2" l="1"/>
  <c r="D93" i="2"/>
  <c r="D84" i="1"/>
  <c r="D121" i="2"/>
  <c r="D121" i="1"/>
  <c r="D61" i="2"/>
  <c r="D77" i="2" s="1"/>
  <c r="H74" i="5"/>
  <c r="H75" i="5" s="1"/>
  <c r="H76" i="5" s="1"/>
  <c r="H77" i="5" s="1"/>
  <c r="J8" i="6"/>
  <c r="J22" i="6" s="1"/>
  <c r="D47" i="2"/>
  <c r="D49" i="2" s="1"/>
  <c r="D76" i="2" s="1"/>
  <c r="D79" i="2" s="1"/>
  <c r="D146" i="2" s="1"/>
  <c r="D48" i="2"/>
  <c r="J21" i="6"/>
  <c r="J13" i="6"/>
  <c r="D49" i="1"/>
  <c r="D76" i="1" s="1"/>
  <c r="D79" i="1" s="1"/>
  <c r="D146" i="1" s="1"/>
  <c r="D97" i="1"/>
  <c r="D100" i="1"/>
  <c r="D96" i="1"/>
  <c r="D99" i="1"/>
  <c r="D98" i="1"/>
  <c r="J24" i="6" l="1"/>
  <c r="J23" i="6"/>
  <c r="D122" i="2"/>
  <c r="D122" i="1"/>
  <c r="D100" i="2"/>
  <c r="D96" i="2"/>
  <c r="D99" i="2"/>
  <c r="D97" i="2"/>
  <c r="D98" i="2"/>
  <c r="D101" i="1"/>
  <c r="D105" i="1" s="1"/>
  <c r="D114" i="1" s="1"/>
  <c r="D116" i="1" s="1"/>
  <c r="D148" i="1" s="1"/>
  <c r="D85" i="1"/>
  <c r="D88" i="1"/>
  <c r="D89" i="1" l="1"/>
  <c r="D147" i="1" s="1"/>
  <c r="D101" i="2"/>
  <c r="D105" i="2" s="1"/>
  <c r="D114" i="2" s="1"/>
  <c r="D116" i="2" s="1"/>
  <c r="D148" i="2" s="1"/>
  <c r="D85" i="2"/>
  <c r="D89" i="2" s="1"/>
  <c r="D147" i="2" s="1"/>
  <c r="D88" i="2"/>
  <c r="D123" i="1"/>
  <c r="D125" i="1" s="1"/>
  <c r="D149" i="1" s="1"/>
  <c r="D123" i="2"/>
  <c r="D125" i="2" s="1"/>
  <c r="D149" i="2" s="1"/>
  <c r="J25" i="6"/>
  <c r="D150" i="2" l="1"/>
  <c r="D150" i="1"/>
  <c r="D129" i="1" l="1"/>
  <c r="D131" i="1" s="1"/>
  <c r="D129" i="2"/>
  <c r="D131" i="2"/>
  <c r="D137" i="2" l="1"/>
  <c r="D136" i="2"/>
  <c r="D139" i="2"/>
  <c r="D141" i="2"/>
  <c r="D151" i="2" s="1"/>
  <c r="D153" i="2" s="1"/>
  <c r="D139" i="1"/>
  <c r="D137" i="1"/>
  <c r="D136" i="1"/>
  <c r="D141" i="1" s="1"/>
  <c r="D151" i="1" s="1"/>
  <c r="D153" i="1" s="1"/>
  <c r="I15" i="7" l="1"/>
  <c r="K15" i="7" s="1"/>
  <c r="L15" i="7" s="1"/>
  <c r="I13" i="7"/>
  <c r="K13" i="7" s="1"/>
  <c r="L13" i="7" s="1"/>
  <c r="I11" i="7"/>
  <c r="K11" i="7" s="1"/>
  <c r="L11" i="7" s="1"/>
  <c r="I18" i="7"/>
  <c r="K18" i="7" s="1"/>
  <c r="L18" i="7" s="1"/>
  <c r="I16" i="7"/>
  <c r="K16" i="7" s="1"/>
  <c r="L16" i="7" s="1"/>
  <c r="I14" i="7"/>
  <c r="K14" i="7" s="1"/>
  <c r="L14" i="7" s="1"/>
  <c r="I12" i="7"/>
  <c r="K12" i="7" s="1"/>
  <c r="L12" i="7" s="1"/>
  <c r="I17" i="7"/>
  <c r="K17" i="7" s="1"/>
  <c r="L17" i="7" s="1"/>
  <c r="L19" i="7" l="1"/>
  <c r="L5" i="7" s="1"/>
  <c r="L6" i="7" s="1"/>
</calcChain>
</file>

<file path=xl/comments1.xml><?xml version="1.0" encoding="utf-8"?>
<comments xmlns="http://schemas.openxmlformats.org/spreadsheetml/2006/main">
  <authors>
    <author/>
  </authors>
  <commentList>
    <comment ref="D24" authorId="0" shapeId="0">
      <text>
        <r>
          <rPr>
            <sz val="10"/>
            <color rgb="FF000000"/>
            <rFont val="Arial"/>
          </rPr>
          <t>1º FAIXA SALARIAL - CCT 2021
======</t>
        </r>
      </text>
    </comment>
    <comment ref="D30" authorId="0" shapeId="0">
      <text>
        <r>
          <rPr>
            <sz val="10"/>
            <color rgb="FF000000"/>
            <rFont val="Arial"/>
          </rPr>
          <t>1º FAIXA SALARIAL - CCT 2021
======</t>
        </r>
      </text>
    </comment>
    <comment ref="D37" authorId="0" shapeId="0">
      <text>
        <r>
          <rPr>
            <sz val="10"/>
            <color rgb="FF000000"/>
            <rFont val="Arial"/>
          </rPr>
          <t>1º FAIXA SALARIAL - CCT 2021
======</t>
        </r>
      </text>
    </comment>
    <comment ref="D55" authorId="0" shapeId="0">
      <text>
        <r>
          <rPr>
            <sz val="10"/>
            <color rgb="FF000000"/>
            <rFont val="Arial"/>
          </rPr>
          <t>RAT x FAP.
1) RAT = 3% (Limpeza em prédios e em domicílios - código 8121-4/00 do Anexo V do Decreto n.º 3.048/1999).
2) FAP = Máximo de Fator de Acidente Previdenciário = 2:
3% x 2 = 6% (maior valor possível)
A empresa deve utilizar o seu FAP efetivo, a ser comprovado no envio de sua proposta adequada ao lance vencedor, mediante apresentação da GFIP ou outro documento apto a fazê-lo.
======</t>
        </r>
      </text>
    </comment>
    <comment ref="D65" authorId="0" shapeId="0">
      <text>
        <r>
          <rPr>
            <sz val="10"/>
            <color rgb="FF000000"/>
            <rFont val="Arial"/>
          </rPr>
          <t>Cláusula DÉCIMA SEXTA - Transporte Alternativo 
======</t>
        </r>
      </text>
    </comment>
    <comment ref="D66" authorId="0" shapeId="0">
      <text>
        <r>
          <rPr>
            <sz val="10"/>
            <color rgb="FF000000"/>
            <rFont val="Arial"/>
          </rPr>
          <t>CCT 2021 (15ª §1º) define R$ 16,00/dia com possibilidade de descontar até 5% desse valor como contribuição do funcionário (§3º, regra do PAT).
Cálculo: (R$ 16,00 - 5%) * 21,083 dias (Dias trabalhados de segunda a sexta, sendo assim considerados por superarem 6 horas trabalhadas/dia, conforme CLÁUSULA 15ª, caput).
======</t>
        </r>
      </text>
    </comment>
    <comment ref="D69" authorId="0" shapeId="0">
      <text>
        <r>
          <rPr>
            <sz val="10"/>
            <color rgb="FF000000"/>
            <rFont val="Arial"/>
          </rPr>
          <t>Cláusula 51ª da CCT - pg. 28/29
======</t>
        </r>
      </text>
    </comment>
    <comment ref="D70" authorId="0" shapeId="0">
      <text>
        <r>
          <rPr>
            <sz val="10"/>
            <color rgb="FF000000"/>
            <rFont val="Arial"/>
          </rPr>
          <t>Cláusula 9ª da CCT - pg. 11
======</t>
        </r>
      </text>
    </comment>
    <comment ref="D86" authorId="0" shapeId="0">
      <text>
        <r>
          <rPr>
            <sz val="10"/>
            <color rgb="FF000000"/>
            <rFont val="Arial"/>
          </rPr>
          <t>{[(7/30)/12]x100} = 1,944%
7 dias de folga / 30 dias / 12 meses (vigência inicial do contrato) = provisão mensal para esse item de custo * remuneração mensal
======</t>
        </r>
      </text>
    </comment>
    <comment ref="D122" authorId="0" shapeId="0">
      <text>
        <r>
          <rPr>
            <sz val="10"/>
            <color rgb="FF000000"/>
            <rFont val="Arial"/>
          </rPr>
          <t>Referência: Custo Mensal dos Insumos (vide planilha específica).
======</t>
        </r>
      </text>
    </comment>
    <comment ref="D123" authorId="0" shapeId="0">
      <text>
        <r>
          <rPr>
            <sz val="10"/>
            <color rgb="FF000000"/>
            <rFont val="Arial"/>
          </rPr>
          <t>Referência: Custo Mensal da depreciação e manutenção de Equipamentos e Ferramentas (vide planilha específica).
======</t>
        </r>
      </text>
    </comment>
    <comment ref="D129" authorId="0" shapeId="0">
      <text>
        <r>
          <rPr>
            <sz val="10"/>
            <color rgb="FF000000"/>
            <rFont val="Arial"/>
          </rPr>
          <t>Referência: Custos Indiretos e Lucro (vide planilha específica).
======</t>
        </r>
      </text>
    </comment>
    <comment ref="D131" authorId="0" shapeId="0">
      <text>
        <r>
          <rPr>
            <sz val="10"/>
            <color rgb="FF000000"/>
            <rFont val="Arial"/>
          </rPr>
          <t>Referência: Custos Indiretos e Lucro (vide planilha específica).
======</t>
        </r>
      </text>
    </comment>
    <comment ref="B133" authorId="0" shapeId="0">
      <text>
        <r>
          <rPr>
            <sz val="10"/>
            <color rgb="FF000000"/>
            <rFont val="Arial"/>
          </rPr>
          <t>Referência: Os tributos (COFINS e PIS) foram definidos utilizando o regime de tributação de LUCRO REAL.
======</t>
        </r>
      </text>
    </comment>
    <comment ref="D139" authorId="0" shapeId="0">
      <text>
        <r>
          <rPr>
            <sz val="10"/>
            <color rgb="FF000000"/>
            <rFont val="Arial"/>
          </rPr>
          <t>Valor do ISS praticado no Município onde será prestado o serviço.
======</t>
        </r>
      </text>
    </comment>
  </commentList>
</comments>
</file>

<file path=xl/comments2.xml><?xml version="1.0" encoding="utf-8"?>
<comments xmlns="http://schemas.openxmlformats.org/spreadsheetml/2006/main">
  <authors>
    <author/>
  </authors>
  <commentList>
    <comment ref="D65" authorId="0" shapeId="0">
      <text>
        <r>
          <rPr>
            <sz val="10"/>
            <color rgb="FF000000"/>
            <rFont val="Arial"/>
          </rPr>
          <t>Cláusula DÉCIMA SEXTA - Transporte Alternativo 
======</t>
        </r>
      </text>
    </comment>
    <comment ref="D66" authorId="0" shapeId="0">
      <text>
        <r>
          <rPr>
            <sz val="10"/>
            <color rgb="FF000000"/>
            <rFont val="Arial"/>
          </rPr>
          <t>CCT 2021 (15ª §1º) define R$ 16,00/dia com possibilidade de descontar até 5% desse valor como contribuição do funcionário (§3º, regra do PAT).
Cálculo: (R$ 16,00 - 5%) * 21,083 dias (Dias trabalhados de segunda a sexta, sendo assim considerados por superarem 6 horas trabalhadas/dia, conforme CLÁUSULA 15ª, caput).
======</t>
        </r>
      </text>
    </comment>
  </commentList>
</comments>
</file>

<file path=xl/comments3.xml><?xml version="1.0" encoding="utf-8"?>
<comments xmlns="http://schemas.openxmlformats.org/spreadsheetml/2006/main">
  <authors>
    <author/>
  </authors>
  <commentList>
    <comment ref="G4" authorId="0" shapeId="0">
      <text>
        <r>
          <rPr>
            <sz val="10"/>
            <color rgb="FF000000"/>
            <rFont val="Arial"/>
          </rPr>
          <t>A taxa de manutenção (0,25% a.m.) é a sugerida no artigo “Formação de preços dos serviços contínuos a serem terceirizados na Administração Pública” da Revista Zênite.
======</t>
        </r>
      </text>
    </comment>
  </commentList>
</comments>
</file>

<file path=xl/sharedStrings.xml><?xml version="1.0" encoding="utf-8"?>
<sst xmlns="http://schemas.openxmlformats.org/spreadsheetml/2006/main" count="815" uniqueCount="381">
  <si>
    <t>PLANILHA DE CUSTOS E FORMAÇÃO DE PREÇOS</t>
  </si>
  <si>
    <t>SERVENTE DE LIMPEZA  (44 HORAS de segunda a sábado)</t>
  </si>
  <si>
    <t>Pregão Eletrônico nº 32/2021</t>
  </si>
  <si>
    <t>Processo nº 23194.000308.2021-63</t>
  </si>
  <si>
    <t> DISCRIMINAÇÃO DOS SERVIÇOS (DADOS REFERENTES À CONTRATAÇÃO)</t>
  </si>
  <si>
    <t>A</t>
  </si>
  <si>
    <t>Data de apresentação da proposta (dia/mês/ano)</t>
  </si>
  <si>
    <t>B</t>
  </si>
  <si>
    <t>Município/UF</t>
  </si>
  <si>
    <t>POCONÉ-MT</t>
  </si>
  <si>
    <t>C</t>
  </si>
  <si>
    <t>Ano Acordo, Convenção ou Sentença Normativa em Dissídio Coletivo</t>
  </si>
  <si>
    <t>MT000060/2021</t>
  </si>
  <si>
    <t>D</t>
  </si>
  <si>
    <t>Nº de meses de execução contratual</t>
  </si>
  <si>
    <t>IDENTIFICAÇÃO DOS SERVIÇOS</t>
  </si>
  <si>
    <t> Tipo de Serviço</t>
  </si>
  <si>
    <t>Limpeza e Conservação</t>
  </si>
  <si>
    <t>MÓDULOS</t>
  </si>
  <si>
    <t> Mão-de-obra vinculada à execução contratual</t>
  </si>
  <si>
    <t>Dados complementares para composição dos custos referente à mão-de-obra</t>
  </si>
  <si>
    <t>Tipo de serviço (mesmo serviço com características distintas)</t>
  </si>
  <si>
    <t>Classificação Brasileira de Ocupações (CBO)</t>
  </si>
  <si>
    <t>5143-20</t>
  </si>
  <si>
    <t>Salário Normativo da Categoria Profissional</t>
  </si>
  <si>
    <t>Categoria profissional (vinculada à execução contratual)</t>
  </si>
  <si>
    <t>Data base da categoria (dia/mês/ano)</t>
  </si>
  <si>
    <t>MÓDULO 1 :   COMPOSIÇÃO DA REMUNERAÇÃO</t>
  </si>
  <si>
    <t>Composição da Remuneração</t>
  </si>
  <si>
    <t>Valor (R$)</t>
  </si>
  <si>
    <t>Salário Base</t>
  </si>
  <si>
    <t>Adicional  de periculosidade</t>
  </si>
  <si>
    <t>Adicional  de insalubridade</t>
  </si>
  <si>
    <r>
      <rPr>
        <sz val="10"/>
        <color rgb="FF000000"/>
        <rFont val="Arial"/>
      </rPr>
      <t xml:space="preserve">Adicional noturno e hora noturna roduzida - </t>
    </r>
    <r>
      <rPr>
        <b/>
        <sz val="10"/>
        <color rgb="FF000000"/>
        <rFont val="Arial"/>
      </rPr>
      <t>(((((Sal. Base+Periculosidade ou insalubridade+gratificações/180)*20%))*qtd horas noturnas)*qtd dias com adicional noturno)</t>
    </r>
  </si>
  <si>
    <t>E</t>
  </si>
  <si>
    <r>
      <rPr>
        <sz val="10"/>
        <color rgb="FF000000"/>
        <rFont val="Arial"/>
      </rPr>
      <t xml:space="preserve">Intervalo Intrajornada - </t>
    </r>
    <r>
      <rPr>
        <b/>
        <sz val="10"/>
        <color rgb="FF000000"/>
        <rFont val="Arial"/>
      </rPr>
      <t>[((Salario base+ad.Insalu/peric.+gratificações/180ou220)+( ad. Noturno e hora noturna red./120))*1,5]*qtd. dias trab. sem concessão do intervalo</t>
    </r>
  </si>
  <si>
    <t>F</t>
  </si>
  <si>
    <r>
      <rPr>
        <sz val="10"/>
        <color rgb="FF000000"/>
        <rFont val="Arial"/>
      </rPr>
      <t xml:space="preserve">Horas extras - </t>
    </r>
    <r>
      <rPr>
        <b/>
        <sz val="10"/>
        <color rgb="FF000000"/>
        <rFont val="Arial"/>
      </rPr>
      <t>[(verbas de natureza salarial/220ou180)+((verbas de natureza salarial/220 ou 180hs)*50% ou 100%)]  * quantidade de horas extras</t>
    </r>
  </si>
  <si>
    <t>G</t>
  </si>
  <si>
    <r>
      <rPr>
        <sz val="10"/>
        <color rgb="FF000000"/>
        <rFont val="Arial"/>
      </rPr>
      <t xml:space="preserve">Reflexo no DSR - </t>
    </r>
    <r>
      <rPr>
        <b/>
        <sz val="10"/>
        <color rgb="FF000000"/>
        <rFont val="Arial"/>
      </rPr>
      <t>{[(valor das horas extras) ÷ nº de dias úteis do mês] x nº RSR do mês}</t>
    </r>
  </si>
  <si>
    <t>H</t>
  </si>
  <si>
    <t>Outros - Gratificação por ASSIDUIDADE</t>
  </si>
  <si>
    <t>I</t>
  </si>
  <si>
    <t>Outros - Gratificação por FUNÇÃO</t>
  </si>
  <si>
    <t>TOTAL DA REMUNERAÇÃO (A+B+C+D+E+F+G+H+I)</t>
  </si>
  <si>
    <t>Nota1:  O Módulo 1 refere-se ao valor mensal devido ao empegado pela prestação do serviço no período de 12 meses.</t>
  </si>
  <si>
    <t>MÓDULO 2: ENCARGOS E BENEFÍCIOS ANUAIS, MENSAIS E DIÁRIOS</t>
  </si>
  <si>
    <t>SUBMÓDULO 2.1: 13º (décimo terceiro) Salário e Adicional de Férias</t>
  </si>
  <si>
    <t>2.1</t>
  </si>
  <si>
    <t>13º (décimo terceiro) Salário, Férias e Adicional de Férias</t>
  </si>
  <si>
    <r>
      <rPr>
        <sz val="10"/>
        <color rgb="FF000000"/>
        <rFont val="Arial"/>
      </rPr>
      <t xml:space="preserve">13º (décimo terceiro) Salário - </t>
    </r>
    <r>
      <rPr>
        <b/>
        <sz val="10"/>
        <color rgb="FF000000"/>
        <rFont val="Arial"/>
      </rPr>
      <t>(remuneração x 8,33%)</t>
    </r>
  </si>
  <si>
    <t>CONTA VINCULADA</t>
  </si>
  <si>
    <r>
      <rPr>
        <sz val="10"/>
        <color rgb="FF000000"/>
        <rFont val="Arial"/>
      </rPr>
      <t xml:space="preserve">Adicional de Férias - </t>
    </r>
    <r>
      <rPr>
        <b/>
        <sz val="10"/>
        <color rgb="FF000000"/>
        <rFont val="Arial"/>
      </rPr>
      <t>(remuneração x 0,0278)</t>
    </r>
  </si>
  <si>
    <t>SUBTOTAL (A+B)</t>
  </si>
  <si>
    <r>
      <rPr>
        <sz val="10"/>
        <color rgb="FF000000"/>
        <rFont val="Arial"/>
      </rPr>
      <t xml:space="preserve">Incidência do submódulo 2.2 no 13º e adicional de férias - </t>
    </r>
    <r>
      <rPr>
        <b/>
        <sz val="10"/>
        <color rgb="FF000000"/>
        <rFont val="Arial"/>
      </rPr>
      <t>(A+B)x%do submódulo 2.2</t>
    </r>
  </si>
  <si>
    <t>TOTAL DE 13º (DÉCIMO TERCEIRO) SALÁRIO E ADICIONAL DE FÉRIAS (A+B+C)</t>
  </si>
  <si>
    <t>Nota 1:  Como a planilha de custos e formação de preços é calculada mensalmente, provisiona-se proporcionalmente 1/12 (um doze avos) dos valores referentes à gratificação natalina e adicional de férias.
Nota 2:  O adicional de férias contido no Submódulo 2.1 corresponde a 1/3 (um terço) da remuneração que por sua vez é dividido por 12 (doze) conforme Nota 1 acima.</t>
  </si>
  <si>
    <t>SUBMÓDULO 2.2: Encargos Previdenciários (GPS), Fundo de Garantia por Tempo de Serviço (FGTS) e outras contribuições.</t>
  </si>
  <si>
    <t>2.2</t>
  </si>
  <si>
    <t>GPS, FGTS e outras contribuições</t>
  </si>
  <si>
    <t>Percentual (%)</t>
  </si>
  <si>
    <t>INSS (Art. 22, Inciso I, da Lei nº 8.212/91)</t>
  </si>
  <si>
    <t>Salário Educação (Art. 3º, Inciso I, Decreto n.º 87.043/82)</t>
  </si>
  <si>
    <t>SAT (RAT X FAP)</t>
  </si>
  <si>
    <t>SESC ou SESI  (Art. 3º, Lei n.º 8.036/90)</t>
  </si>
  <si>
    <t>SENAI - SENAC (Decreto n.º 2.318/86)</t>
  </si>
  <si>
    <t>SEBRAE (Art. 8º, Lei n.º 8.029/90 e Lei n.º 8.154/90)</t>
  </si>
  <si>
    <t>INCRA (Lei n.º 7.787/89 e DL n.º 1.146/70)</t>
  </si>
  <si>
    <t>FGTS (Art. 15, Lei nº 8.030/90 e Art. 7º, III, CF)</t>
  </si>
  <si>
    <t>TOTAL GPS, FGTS E OUTRAS CONTRIBUIÇÕES (A+B+C+D+E+F+G+H)</t>
  </si>
  <si>
    <t>SUBMÓDULO 2.3: Benefícios Mensais e Diários</t>
  </si>
  <si>
    <t>2.3</t>
  </si>
  <si>
    <t>Benefícios  Mensais e Diários</t>
  </si>
  <si>
    <t>Transporte (Lei 7.418 de 16.dez.1985) (Passagem R$ 4,10)</t>
  </si>
  <si>
    <t xml:space="preserve">Auxílio alimentação </t>
  </si>
  <si>
    <t>Programa de Assistência Social, Ocupacional e Lazer para empregados do segmento</t>
  </si>
  <si>
    <t>Auxílio creche</t>
  </si>
  <si>
    <t>Seguro de Vida, Exames Ocupacionais, Tratamento Odontológicos Básicos Preventivos, PCMSO e PPRA (CCT/2021-SEAC/MT Cláusula 51ª)</t>
  </si>
  <si>
    <t>Outros: Prêmio Cesta Básica a Título de Assiduidade (Cláusula 9ª CCT/2021-SEAC-MT)</t>
  </si>
  <si>
    <t>Associação Escola</t>
  </si>
  <si>
    <t>TOTAL BENEFÍCIOS  MENSAIS E DIÁRIOS (A+B+C+D+E+F+G)</t>
  </si>
  <si>
    <t>Nota 1: o valor informado deverá ser o custo real do insumo (descontado o valor eventualmente pago pelo empregado).
Nota 2: Observar a previsão dos benefícios contidos em Acordos, Convenções e Dissídios Coletivos de Trabalho e atentar-se ao disposto no artigo 6º da Instrução Normativa SEGES/MPDG nº 05/2017.</t>
  </si>
  <si>
    <t>Quadro-Resumo do Módulo 2 - Encargos e Benefícios anuais, mensais e diários</t>
  </si>
  <si>
    <t>Encargos e Benefícios Anuais, Mensais e Diários</t>
  </si>
  <si>
    <t>TOTAL ENCARGOS BENEFÍCIOS ANUAIS, MENSAIS E DIÁRIOS</t>
  </si>
  <si>
    <t>MÓDULO 3: PROVISÃO PARA RESCISÃO</t>
  </si>
  <si>
    <t>Provisão para Rescisão</t>
  </si>
  <si>
    <r>
      <rPr>
        <sz val="10"/>
        <color rgb="FF000000"/>
        <rFont val="Arial"/>
      </rPr>
      <t xml:space="preserve">Aviso Prévio Indenizado - </t>
    </r>
    <r>
      <rPr>
        <b/>
        <sz val="10"/>
        <color rgb="FF000000"/>
        <rFont val="Arial"/>
      </rPr>
      <t>{Rem/12 + 13º/12=(Rem/12)/12 + Férias/12=(Rem/12)/12 + (1/3xFérias)/12=1/3x[(Rem/12)/12]} x (30/30=1) x 5% de rotatividade anual - Os reflexos de 13º, F e 1/3F são referentes a 1 mês de APInd - Na prorrogação, poderão ser considerados 3 dias conforme Lei nº 12.506/2011, dependendo da análise do nº de ocorrências deste evento no período.</t>
    </r>
  </si>
  <si>
    <r>
      <rPr>
        <sz val="10"/>
        <color rgb="FF000000"/>
        <rFont val="Arial"/>
      </rPr>
      <t xml:space="preserve">Incidência do FGTS sobre o Aviso Prévio Indenizado - </t>
    </r>
    <r>
      <rPr>
        <b/>
        <sz val="10"/>
        <color rgb="FF000000"/>
        <rFont val="Arial"/>
      </rPr>
      <t>(Aviso Prévio Indenizado * 8% FGTS)</t>
    </r>
  </si>
  <si>
    <r>
      <rPr>
        <sz val="10"/>
        <color rgb="FF000000"/>
        <rFont val="Arial"/>
      </rPr>
      <t xml:space="preserve">Multa do FGTS sobre o Aviso Prévio Indenizado - </t>
    </r>
    <r>
      <rPr>
        <b/>
        <sz val="10"/>
        <color rgb="FF000000"/>
        <rFont val="Arial"/>
      </rPr>
      <t>(multa 40%)</t>
    </r>
  </si>
  <si>
    <r>
      <rPr>
        <sz val="10"/>
        <color rgb="FF000000"/>
        <rFont val="Arial"/>
      </rPr>
      <t xml:space="preserve">Aviso Prévio Trabalhado - </t>
    </r>
    <r>
      <rPr>
        <b/>
        <sz val="10"/>
        <color rgb="FF000000"/>
        <rFont val="Arial"/>
      </rPr>
      <t>(Rem/12)/30)x7)x100% ou 1,94%</t>
    </r>
  </si>
  <si>
    <r>
      <rPr>
        <sz val="10"/>
        <color rgb="FF000000"/>
        <rFont val="Arial"/>
      </rPr>
      <t xml:space="preserve">Incidência dos encargos do submódulo 2.2 sobre o Aviso Prévio
Trabalhado - </t>
    </r>
    <r>
      <rPr>
        <b/>
        <sz val="10"/>
        <color rgb="FF000000"/>
        <rFont val="Arial"/>
      </rPr>
      <t>(Aviso Prévio Trabalhado) x % do Submódulo 2.2</t>
    </r>
  </si>
  <si>
    <r>
      <rPr>
        <sz val="10"/>
        <color rgb="FF000000"/>
        <rFont val="Arial"/>
      </rPr>
      <t xml:space="preserve">Multa do FGTS sobre o Aviso Prévio Trabalhado - </t>
    </r>
    <r>
      <rPr>
        <b/>
        <sz val="10"/>
        <color rgb="FF000000"/>
        <rFont val="Arial"/>
      </rPr>
      <t xml:space="preserve"> [40%x8%x(Rem+13º+Férias+1/3xFérias)]x100% dos empregados</t>
    </r>
  </si>
  <si>
    <t>TOTAL PROVISÃO PARA RESCISÃO</t>
  </si>
  <si>
    <t>MÓDULO 4: CUSTO DE REPOSIÇÃO DE PROFISSIONAL AUSENTE</t>
  </si>
  <si>
    <t>Nota 1: Os itens que contemplam o módulo 4 se referem ao custo dos dias trabalhados pelo repositor/substituto que por ventura venha cobrir o empregado nos casos de Ausências Legais (Submódulo 4.1) e/ou na Intrajornada (Submódulo 4.2) a depender da prestação do serviço.
Nota 2: Haverá a incidência do Submódulo 2.2 sobre esse módulo.</t>
  </si>
  <si>
    <t>Base de cálculo para o Custo de Reposição do Profissional Ausente (substituto): BCCPA = Rem + 13º + Férias + 1/3Férias (exceto para Afast Mat, que é a Remuneração)
Conforme Item 89 do Relatório do Acórdão TCU nº 1.753/2008 do Plenário e Orientações da SEGES/MPDG</t>
  </si>
  <si>
    <t>SUBMÓDULO 4.1: Ausências legais</t>
  </si>
  <si>
    <t>4.1</t>
  </si>
  <si>
    <t>Ausências Legais</t>
  </si>
  <si>
    <r>
      <rPr>
        <sz val="10"/>
        <color rgb="FF000000"/>
        <rFont val="Arial"/>
      </rPr>
      <t xml:space="preserve">Férias </t>
    </r>
    <r>
      <rPr>
        <b/>
        <sz val="10"/>
        <color rgb="FF000000"/>
        <rFont val="Arial"/>
      </rPr>
      <t>- (BCCPA x(1/12))</t>
    </r>
  </si>
  <si>
    <r>
      <rPr>
        <sz val="10"/>
        <color rgb="FF000000"/>
        <rFont val="Arial"/>
      </rPr>
      <t xml:space="preserve">Ausências legais - </t>
    </r>
    <r>
      <rPr>
        <b/>
        <sz val="10"/>
        <color rgb="FF000000"/>
        <rFont val="Arial"/>
      </rPr>
      <t>((BCCPA/30/12)x1 dia</t>
    </r>
  </si>
  <si>
    <r>
      <rPr>
        <sz val="10"/>
        <color rgb="FF000000"/>
        <rFont val="Arial"/>
      </rPr>
      <t xml:space="preserve">Licença paternidade - </t>
    </r>
    <r>
      <rPr>
        <b/>
        <sz val="10"/>
        <color rgb="FF000000"/>
        <rFont val="Arial"/>
      </rPr>
      <t>((BCCPA/30/12)x5 dias)x1,5%</t>
    </r>
  </si>
  <si>
    <r>
      <rPr>
        <sz val="10"/>
        <color rgb="FF000000"/>
        <rFont val="Arial"/>
      </rPr>
      <t xml:space="preserve">Ausências por acidente de trabalho - </t>
    </r>
    <r>
      <rPr>
        <b/>
        <sz val="10"/>
        <color rgb="FF000000"/>
        <rFont val="Arial"/>
      </rPr>
      <t>((BCCPA/30/12)x30 dias)x8%</t>
    </r>
  </si>
  <si>
    <r>
      <rPr>
        <sz val="10"/>
        <color rgb="FF000000"/>
        <rFont val="Arial"/>
      </rPr>
      <t xml:space="preserve">Outros – Ex. Ausência por doença - </t>
    </r>
    <r>
      <rPr>
        <b/>
        <sz val="10"/>
        <color rgb="FF000000"/>
        <rFont val="Arial"/>
      </rPr>
      <t>(BCCPA/30/12)x5 diasx40%</t>
    </r>
  </si>
  <si>
    <r>
      <rPr>
        <sz val="10"/>
        <color rgb="FF000000"/>
        <rFont val="Arial"/>
      </rPr>
      <t xml:space="preserve">Incidência dos Encargos do Submódulo 2.2 sobre as ausências legais - </t>
    </r>
    <r>
      <rPr>
        <b/>
        <sz val="10"/>
        <color rgb="FF000000"/>
        <rFont val="Arial"/>
      </rPr>
      <t>(A+B+C+D+E) x % do submódulo 2.2</t>
    </r>
  </si>
  <si>
    <r>
      <rPr>
        <sz val="10"/>
        <color rgb="FF000000"/>
        <rFont val="Arial"/>
      </rPr>
      <t xml:space="preserve">Afastamento Maternidade (Férias pagas ao substituto pelos 120 dias de reposição) - </t>
    </r>
    <r>
      <rPr>
        <b/>
        <sz val="10"/>
        <color rgb="FF000000"/>
        <rFont val="Arial"/>
      </rPr>
      <t>(((Remuneração+(Remuneração ÷ 3)) x (4/12)) ÷ 12) x 2%</t>
    </r>
  </si>
  <si>
    <r>
      <rPr>
        <sz val="10"/>
        <color rgb="FF000000"/>
        <rFont val="Arial"/>
      </rPr>
      <t xml:space="preserve">Incidência dos encargos do submódulo 2.2 sobre as férias pagas ao substituto pelos 120 dias de reposição - </t>
    </r>
    <r>
      <rPr>
        <b/>
        <sz val="10"/>
        <color rgb="FF000000"/>
        <rFont val="Arial"/>
      </rPr>
      <t>(férias pagas ao substituto pelos 120 dias de reposição) x % do submódulo 2.2</t>
    </r>
  </si>
  <si>
    <r>
      <rPr>
        <sz val="10"/>
        <color rgb="FF000000"/>
        <rFont val="Arial"/>
      </rPr>
      <t xml:space="preserve">Incidência do submódulo 2.2 sobre remuneração e 13º salário proporcionais aos 120 dias de reposição - </t>
    </r>
    <r>
      <rPr>
        <b/>
        <sz val="10"/>
        <color rgb="FF000000"/>
        <rFont val="Arial"/>
      </rPr>
      <t>(((rem + (rem ÷ 12)) x (4÷12)) x 2%) x % do submódulo 2.2</t>
    </r>
  </si>
  <si>
    <t>TOTAL AUSÊNCIAS LEGAIS (A+B+C+D+E+F)</t>
  </si>
  <si>
    <t>SUBMÓDULO 4.2: Intrajornada</t>
  </si>
  <si>
    <t>4.2</t>
  </si>
  <si>
    <t>Intrajornada</t>
  </si>
  <si>
    <t>Intervalo para repouso ou alimentação</t>
  </si>
  <si>
    <t>TOTAL INTRAJORNADA (A)</t>
  </si>
  <si>
    <t>Quadro-Resumo do Módulo 4 - Custo de Reposição do Profissional Ausente</t>
  </si>
  <si>
    <t>Ausências legais</t>
  </si>
  <si>
    <t>MÓDULO 5: INSUMOS DIVERSOS</t>
  </si>
  <si>
    <t>Insumos Diversos</t>
  </si>
  <si>
    <r>
      <rPr>
        <sz val="10"/>
        <color rgb="FF000000"/>
        <rFont val="Arial"/>
      </rPr>
      <t xml:space="preserve">Uniformes (pesquisa de mercado) - </t>
    </r>
    <r>
      <rPr>
        <b/>
        <sz val="10"/>
        <color rgb="FF000000"/>
        <rFont val="Arial"/>
      </rPr>
      <t>Retira-se o valor correspondente ao PIS/COFINS (9,25%) nessa etapa da planilha, visto que será tributado no módulo CITL, evitando assim bitributação.</t>
    </r>
  </si>
  <si>
    <r>
      <rPr>
        <sz val="10"/>
        <color rgb="FF000000"/>
        <rFont val="Arial"/>
      </rPr>
      <t>EPI (pesquisa de mercado)</t>
    </r>
    <r>
      <rPr>
        <b/>
        <sz val="10"/>
        <color rgb="FF000000"/>
        <rFont val="Arial"/>
      </rPr>
      <t xml:space="preserve"> - Retira-se o valor correspondente ao PIS/COFINS (9,25%) nessa etapa da planilha, visto que será tributado no módulo CITL, evitando assim bitributação.</t>
    </r>
  </si>
  <si>
    <r>
      <rPr>
        <sz val="10"/>
        <color rgb="FF000000"/>
        <rFont val="Arial"/>
      </rPr>
      <t xml:space="preserve">Materiais de Consumo e Utensílios (pesquisa de mercado) -  </t>
    </r>
    <r>
      <rPr>
        <b/>
        <sz val="10"/>
        <color rgb="FF000000"/>
        <rFont val="Arial"/>
      </rPr>
      <t>Retira-se o valor correspondente ao PIS/COFINS (9,25%) nessa etapa da planilha, visto que será tributado no módulo CITL, evitando assim bitributação.</t>
    </r>
  </si>
  <si>
    <r>
      <rPr>
        <sz val="10"/>
        <color rgb="FF000000"/>
        <rFont val="Arial"/>
      </rPr>
      <t xml:space="preserve">Depreciação e Manutenção de Equipamentos e Ferramentas (pesquisa de mercado) - </t>
    </r>
    <r>
      <rPr>
        <b/>
        <sz val="10"/>
        <color rgb="FF000000"/>
        <rFont val="Arial"/>
      </rPr>
      <t>Retira-se o valor correspondente ao PIS/COFINS (9,25%) nessa etapa da planilha, visto que será tributado no módulo CITL, evitando assim bitributação.</t>
    </r>
  </si>
  <si>
    <t>Outros</t>
  </si>
  <si>
    <t>TOTAL DE INSUMOS DIVERSOS</t>
  </si>
  <si>
    <t>MÓDULO 6: CUSTOS INDIRETOS, TRIBUTOS E LUCRO</t>
  </si>
  <si>
    <t>Custos Indiretos, Tributos e Lucro</t>
  </si>
  <si>
    <t>%</t>
  </si>
  <si>
    <t>Custos Indiretos</t>
  </si>
  <si>
    <t>BASE DE CÁLCULO DOS CUSTOS INDIRETOS  = (Total do Módulo 1 – Composição da  Remuneração + Total do Módulo 2 - Encargos e Benefícios Anuais, Mensais e Diários + Total do Módulo 3 – Provisão da Rescisão + Total do Módulo 4 - Custo de Reposição do Profissional Ausente + Total do Módulo 5 - Insumos Diversos)</t>
  </si>
  <si>
    <t>Lucro</t>
  </si>
  <si>
    <t>BASE DE CÁLCULO DO LUCRO =  (Total do Módulo 1 – Composição da  Remuneração + Total do Módulo 2 - Encargos e Benefícios Anuais, Mensais e Diários + Total do Módulo 3 – Provisão da Rescisão + Total do Módulo 4 - Custo de Reposição do Profissional Ausente + Total do Módulo 5 - Insumos Diversos + Custos Indiretos)</t>
  </si>
  <si>
    <t>Tributos</t>
  </si>
  <si>
    <t>BASE DE CÁLCULO DOS TRIBUTOS = (Total do Módulo 1 – Composição da  Remuneração + Total do Módulo 2 - Encargos e Benefícios Anuais, Mensais e Diários + Total do Módulo 3 – Provisão da Rescisão + Total do Módulo 4 - Custo de Reposição do Profissional Ausente + Total do Módulo 5 - Insumos Diversos + Custos Indiretos + Lucro)</t>
  </si>
  <si>
    <t>C1. Tributos Federais</t>
  </si>
  <si>
    <t>C.1.1  PIS</t>
  </si>
  <si>
    <t>C.1.2 COFINS</t>
  </si>
  <si>
    <t>C.2  Tributos Estaduais</t>
  </si>
  <si>
    <t>C.3   Tributos Municipais</t>
  </si>
  <si>
    <t>C.3.1 - ISS</t>
  </si>
  <si>
    <t>TOTAL</t>
  </si>
  <si>
    <t>Nota 1: Custos Indiretos, Lucro e Tributos por empregado.
Nota 2: O valor referente a tributos é obtido aplicando-se o percentual sobre o valor do faturamento.</t>
  </si>
  <si>
    <t>2 - QUADRO RESUMO DO CUSTO POR EMPREGADO</t>
  </si>
  <si>
    <t>Mão-de-obra vinculada à execução contratual (valor por empregado)</t>
  </si>
  <si>
    <t>(R$)</t>
  </si>
  <si>
    <t>Módulo 1 – Composição da Remuneração</t>
  </si>
  <si>
    <t>Módulo 2 – Encargos e Benefícios Anuais, Mensais e Diários</t>
  </si>
  <si>
    <t>Módulo 3 – Provisão para rescisão</t>
  </si>
  <si>
    <t>Módulo 4 - Custo de Reposição do Profissional Ausente</t>
  </si>
  <si>
    <t>Módulo 5 – Insumos diversos</t>
  </si>
  <si>
    <t>Subtotal (A + B +C+ D+E)</t>
  </si>
  <si>
    <t>Módulo 6 – Custos indiretos, tributos e lucro</t>
  </si>
  <si>
    <t>Outros: Gratificação Líder</t>
  </si>
  <si>
    <t>Valor total por empregado</t>
  </si>
  <si>
    <t>SERVENTE DE LIMPEZA  (44 HORAS de segunda a sábado) com insalubridade 10%, para limpeza geral com prioridade para os banheiros com até 20 usuários por dia</t>
  </si>
  <si>
    <t>Adicional  de insalubridade para limpeza de banheiros públicos com até 20 usuários por dia (10% sobre o salário mínimo - CCT/2021-SEAC/MT Cláusula 13ª)</t>
  </si>
  <si>
    <r>
      <rPr>
        <sz val="10"/>
        <color rgb="FF000000"/>
        <rFont val="Arial"/>
      </rPr>
      <t xml:space="preserve">Adicional noturno e hora noturna roduzida - </t>
    </r>
    <r>
      <rPr>
        <b/>
        <sz val="10"/>
        <color rgb="FF000000"/>
        <rFont val="Arial"/>
      </rPr>
      <t>(((((Sal. Base+Periculosidade ou insalubridade+gratificações/180)*20%))*qtd horas noturnas)*qtd dias com adicional noturno)</t>
    </r>
  </si>
  <si>
    <r>
      <rPr>
        <sz val="10"/>
        <color rgb="FF000000"/>
        <rFont val="Arial"/>
      </rPr>
      <t xml:space="preserve">Intervalo Intrajornada - </t>
    </r>
    <r>
      <rPr>
        <b/>
        <sz val="10"/>
        <color rgb="FF000000"/>
        <rFont val="Arial"/>
      </rPr>
      <t>[((Salario base+ad.Insalu/peric.+gratificações/180ou220)+( ad. Noturno e hora noturna red./120))*1,5]*qtd. dias trab. sem concessão do intervalo</t>
    </r>
  </si>
  <si>
    <r>
      <rPr>
        <sz val="10"/>
        <color rgb="FF000000"/>
        <rFont val="Arial"/>
      </rPr>
      <t xml:space="preserve">Horas extras - </t>
    </r>
    <r>
      <rPr>
        <b/>
        <sz val="10"/>
        <color rgb="FF000000"/>
        <rFont val="Arial"/>
      </rPr>
      <t>[(verbas de natureza salarial/220ou180)+((verbas de natureza salarial/220 ou 180hs)*50% ou 100%)]  * quantidade de horas extras</t>
    </r>
  </si>
  <si>
    <r>
      <rPr>
        <sz val="10"/>
        <color rgb="FF000000"/>
        <rFont val="Arial"/>
      </rPr>
      <t xml:space="preserve">Reflexo no DSR - </t>
    </r>
    <r>
      <rPr>
        <b/>
        <sz val="10"/>
        <color rgb="FF000000"/>
        <rFont val="Arial"/>
      </rPr>
      <t>{[(valor das horas extras) ÷ nº de dias úteis do mês] x nº RSR do mês}</t>
    </r>
  </si>
  <si>
    <r>
      <rPr>
        <sz val="10"/>
        <color rgb="FF000000"/>
        <rFont val="Arial"/>
      </rPr>
      <t xml:space="preserve">13º (décimo terceiro) Salário - </t>
    </r>
    <r>
      <rPr>
        <b/>
        <sz val="10"/>
        <color rgb="FF000000"/>
        <rFont val="Arial"/>
      </rPr>
      <t>(remuneração x 8,33%)</t>
    </r>
  </si>
  <si>
    <r>
      <rPr>
        <sz val="10"/>
        <color rgb="FF000000"/>
        <rFont val="Arial"/>
      </rPr>
      <t xml:space="preserve">Adicional de Férias - </t>
    </r>
    <r>
      <rPr>
        <b/>
        <sz val="10"/>
        <color rgb="FF000000"/>
        <rFont val="Arial"/>
      </rPr>
      <t>(remuneração x 0,0278)</t>
    </r>
  </si>
  <si>
    <r>
      <rPr>
        <sz val="10"/>
        <color rgb="FF000000"/>
        <rFont val="Arial"/>
      </rPr>
      <t xml:space="preserve">Incidência do submódulo 2.2 no 13º e adicional de férias - </t>
    </r>
    <r>
      <rPr>
        <b/>
        <sz val="10"/>
        <color rgb="FF000000"/>
        <rFont val="Arial"/>
      </rPr>
      <t>(A+B)x%do submódulo 2.2</t>
    </r>
  </si>
  <si>
    <r>
      <rPr>
        <sz val="10"/>
        <color rgb="FF000000"/>
        <rFont val="Arial"/>
      </rPr>
      <t xml:space="preserve">Aviso Prévio Indenizado - </t>
    </r>
    <r>
      <rPr>
        <b/>
        <sz val="10"/>
        <color rgb="FF000000"/>
        <rFont val="Arial"/>
      </rPr>
      <t>{Rem/12 + 13º/12=(Rem/12)/12 + Férias/12=(Rem/12)/12 + (1/3xFérias)/12=1/3x[(Rem/12)/12]} x (30/30=1) x 5% de rotatividade anual - Os reflexos de 13º, F e 1/3F são referentes a 1 mês de APInd - Na prorrogação, poderão ser considerados 3 dias conforme Lei nº 12.506/2011, dependendo da análise do nº de ocorrências deste evento no período.</t>
    </r>
  </si>
  <si>
    <r>
      <rPr>
        <sz val="10"/>
        <color rgb="FF000000"/>
        <rFont val="Arial"/>
      </rPr>
      <t xml:space="preserve">Incidência do FGTS sobre o Aviso Prévio Indenizado - </t>
    </r>
    <r>
      <rPr>
        <b/>
        <sz val="10"/>
        <color rgb="FF000000"/>
        <rFont val="Arial"/>
      </rPr>
      <t>(Aviso Prévio Indenizado * 8% FGTS)</t>
    </r>
  </si>
  <si>
    <r>
      <rPr>
        <sz val="10"/>
        <color rgb="FF000000"/>
        <rFont val="Arial"/>
      </rPr>
      <t xml:space="preserve">Multa do FGTS sobre o Aviso Prévio Indenizado - </t>
    </r>
    <r>
      <rPr>
        <b/>
        <sz val="10"/>
        <color rgb="FF000000"/>
        <rFont val="Arial"/>
      </rPr>
      <t>(multa 40%)</t>
    </r>
  </si>
  <si>
    <r>
      <rPr>
        <sz val="10"/>
        <color rgb="FF000000"/>
        <rFont val="Arial"/>
      </rPr>
      <t xml:space="preserve">Aviso Prévio Trabalhado - </t>
    </r>
    <r>
      <rPr>
        <b/>
        <sz val="10"/>
        <color rgb="FF000000"/>
        <rFont val="Arial"/>
      </rPr>
      <t>(Rem/12)/30)x7)x100% ou 1,94%</t>
    </r>
  </si>
  <si>
    <r>
      <rPr>
        <sz val="10"/>
        <color rgb="FF000000"/>
        <rFont val="Arial"/>
      </rPr>
      <t xml:space="preserve">Incidência dos encargos do submódulo 2.2 sobre o Aviso Prévio
Trabalhado - </t>
    </r>
    <r>
      <rPr>
        <b/>
        <sz val="10"/>
        <color rgb="FF000000"/>
        <rFont val="Arial"/>
      </rPr>
      <t>(Aviso Prévio Trabalhado) x % do Submódulo 2.2</t>
    </r>
  </si>
  <si>
    <r>
      <rPr>
        <sz val="10"/>
        <color rgb="FF000000"/>
        <rFont val="Arial"/>
      </rPr>
      <t xml:space="preserve">Multa do FGTS sobre o Aviso Prévio Trabalhado - </t>
    </r>
    <r>
      <rPr>
        <b/>
        <sz val="10"/>
        <color rgb="FF000000"/>
        <rFont val="Arial"/>
      </rPr>
      <t xml:space="preserve"> [40%x8%x(Rem+13º+Férias+1/3xFérias)]x100% dos empregados</t>
    </r>
  </si>
  <si>
    <r>
      <rPr>
        <sz val="10"/>
        <color rgb="FF000000"/>
        <rFont val="Arial"/>
      </rPr>
      <t xml:space="preserve">Férias </t>
    </r>
    <r>
      <rPr>
        <b/>
        <sz val="10"/>
        <color rgb="FF000000"/>
        <rFont val="Arial"/>
      </rPr>
      <t>- (BCCPA x(1/12))</t>
    </r>
  </si>
  <si>
    <r>
      <rPr>
        <sz val="10"/>
        <color rgb="FF000000"/>
        <rFont val="Arial"/>
      </rPr>
      <t xml:space="preserve">Ausências legais - </t>
    </r>
    <r>
      <rPr>
        <b/>
        <sz val="10"/>
        <color rgb="FF000000"/>
        <rFont val="Arial"/>
      </rPr>
      <t>((BCCPA/30/12)x1 dia</t>
    </r>
  </si>
  <si>
    <r>
      <rPr>
        <sz val="10"/>
        <color rgb="FF000000"/>
        <rFont val="Arial"/>
      </rPr>
      <t xml:space="preserve">Licença paternidade - </t>
    </r>
    <r>
      <rPr>
        <b/>
        <sz val="10"/>
        <color rgb="FF000000"/>
        <rFont val="Arial"/>
      </rPr>
      <t>((BCCPA/30/12)x5 dias)x1,5%</t>
    </r>
  </si>
  <si>
    <r>
      <rPr>
        <sz val="10"/>
        <color rgb="FF000000"/>
        <rFont val="Arial"/>
      </rPr>
      <t xml:space="preserve">Ausências por acidente de trabalho - </t>
    </r>
    <r>
      <rPr>
        <b/>
        <sz val="10"/>
        <color rgb="FF000000"/>
        <rFont val="Arial"/>
      </rPr>
      <t>((BCCPA/30/12)x30 dias)x8%</t>
    </r>
  </si>
  <si>
    <r>
      <rPr>
        <sz val="10"/>
        <color rgb="FF000000"/>
        <rFont val="Arial"/>
      </rPr>
      <t xml:space="preserve">Outros – Ex. Ausência por doença - </t>
    </r>
    <r>
      <rPr>
        <b/>
        <sz val="10"/>
        <color rgb="FF000000"/>
        <rFont val="Arial"/>
      </rPr>
      <t>(BCCPA/30/12)x5 diasx40%</t>
    </r>
  </si>
  <si>
    <r>
      <rPr>
        <sz val="10"/>
        <color rgb="FF000000"/>
        <rFont val="Arial"/>
      </rPr>
      <t xml:space="preserve">Incidência dos Encargos do Submódulo 2.2 sobre as ausências legais - </t>
    </r>
    <r>
      <rPr>
        <b/>
        <sz val="10"/>
        <color rgb="FF000000"/>
        <rFont val="Arial"/>
      </rPr>
      <t>(A+B+C+D+E) x % do submódulo 2.2</t>
    </r>
  </si>
  <si>
    <r>
      <rPr>
        <sz val="10"/>
        <color rgb="FF000000"/>
        <rFont val="Arial"/>
      </rPr>
      <t xml:space="preserve">Afastamento Maternidade (Férias pagas ao substituto pelos 120 dias de reposição) - </t>
    </r>
    <r>
      <rPr>
        <b/>
        <sz val="10"/>
        <color rgb="FF000000"/>
        <rFont val="Arial"/>
      </rPr>
      <t>(((Remuneração+(Remuneração ÷ 3)) x (4/12)) ÷ 12) x 2%</t>
    </r>
  </si>
  <si>
    <r>
      <rPr>
        <sz val="10"/>
        <color rgb="FF000000"/>
        <rFont val="Arial"/>
      </rPr>
      <t xml:space="preserve">Incidência dos encargos do submódulo 2.2 sobre as férias pagas ao substituto pelos 120 dias de reposição - </t>
    </r>
    <r>
      <rPr>
        <b/>
        <sz val="10"/>
        <color rgb="FF000000"/>
        <rFont val="Arial"/>
      </rPr>
      <t>(férias pagas ao substituto pelos 120 dias de reposição) x % do submódulo 2.2</t>
    </r>
  </si>
  <si>
    <r>
      <rPr>
        <sz val="10"/>
        <color rgb="FF000000"/>
        <rFont val="Arial"/>
      </rPr>
      <t xml:space="preserve">Incidência do submódulo 2.2 sobre remuneração e 13º salário proporcionais aos 120 dias de reposição - </t>
    </r>
    <r>
      <rPr>
        <b/>
        <sz val="10"/>
        <color rgb="FF000000"/>
        <rFont val="Arial"/>
      </rPr>
      <t>(((rem + (rem ÷ 12)) x (4÷12)) x 2%) x % do submódulo 2.2</t>
    </r>
  </si>
  <si>
    <r>
      <rPr>
        <sz val="10"/>
        <color rgb="FF000000"/>
        <rFont val="Arial"/>
      </rPr>
      <t xml:space="preserve">Uniformes (pesquisa de mercado) - </t>
    </r>
    <r>
      <rPr>
        <b/>
        <sz val="10"/>
        <color rgb="FF000000"/>
        <rFont val="Arial"/>
      </rPr>
      <t>Retira-se o valor correspondente ao PIS/COFINS (9,25%) nessa etapa da planilha, visto que será tributado no módulo CITL, evitando assim bitributação.</t>
    </r>
  </si>
  <si>
    <r>
      <rPr>
        <sz val="10"/>
        <color rgb="FF000000"/>
        <rFont val="Arial"/>
      </rPr>
      <t>EPI (pesquisa de mercado)</t>
    </r>
    <r>
      <rPr>
        <b/>
        <sz val="10"/>
        <color rgb="FF000000"/>
        <rFont val="Arial"/>
      </rPr>
      <t xml:space="preserve"> - Retira-se o valor correspondente ao PIS/COFINS (9,25%) nessa etapa da planilha, visto que será tributado no módulo CITL, evitando assim bitributação.</t>
    </r>
  </si>
  <si>
    <r>
      <rPr>
        <sz val="10"/>
        <color rgb="FF000000"/>
        <rFont val="Arial"/>
      </rPr>
      <t xml:space="preserve">Materiais de Consumo e Utensílios (pesquisa de mercado) -  </t>
    </r>
    <r>
      <rPr>
        <b/>
        <sz val="10"/>
        <color rgb="FF000000"/>
        <rFont val="Arial"/>
      </rPr>
      <t>Retira-se o valor correspondente ao PIS/COFINS (9,25%) nessa etapa da planilha, visto que será tributado no módulo CITL, evitando assim bitributação.</t>
    </r>
  </si>
  <si>
    <r>
      <rPr>
        <sz val="10"/>
        <color rgb="FF000000"/>
        <rFont val="Arial"/>
      </rPr>
      <t xml:space="preserve">Depreciação e Manutenção de Equipamentos e Ferramentas (pesquisa de mercado) - </t>
    </r>
    <r>
      <rPr>
        <b/>
        <sz val="10"/>
        <color rgb="FF000000"/>
        <rFont val="Arial"/>
      </rPr>
      <t>Retira-se o valor correspondente ao PIS/COFINS (9,25%) nessa etapa da planilha, visto que será tributado no módulo CITL, evitando assim bitributação.</t>
    </r>
  </si>
  <si>
    <t>ESTIMATIVA DE PREÇOS - BDI</t>
  </si>
  <si>
    <t>Preços praticados na Administração Pública</t>
  </si>
  <si>
    <t>TCU</t>
  </si>
  <si>
    <t>SERVENTE DE LIMPEZA E LIMPADOR DE VIDROS EXTERNOS</t>
  </si>
  <si>
    <t>UASG 158144 PE 03/2021 (ITEM 1)</t>
  </si>
  <si>
    <t>UASG 158334 PE 01/2020 (ITEM 1)</t>
  </si>
  <si>
    <t>UASG 090021 PE 11/2020 (ITEM 1)</t>
  </si>
  <si>
    <t>UASG 194029 PE 04/2020 (ITEM 1)</t>
  </si>
  <si>
    <t>UASG 170190 PE 01/2020 (ITEM 1)</t>
  </si>
  <si>
    <t>% adotados no Acórdão 1753/2008 - Plenário</t>
  </si>
  <si>
    <t>Valor Médio</t>
  </si>
  <si>
    <t>CUSTOS INDIRETOS</t>
  </si>
  <si>
    <t>LUCRO</t>
  </si>
  <si>
    <t>ESTIMATIVA DE PREÇOS - UNIFORMES E EPI'S</t>
  </si>
  <si>
    <t>SERVENTE DE LIMPEZA</t>
  </si>
  <si>
    <t>UNIFORMES</t>
  </si>
  <si>
    <t>ORDEM</t>
  </si>
  <si>
    <t>ESPECIFICAÇÃO (NOME, TIPO, EMBALAGEM ETC.)</t>
  </si>
  <si>
    <t>UNIDADE</t>
  </si>
  <si>
    <t>QUANTIDADE ANUAL (A)</t>
  </si>
  <si>
    <t>VALOR UNITÁRIO (PAINEL DE PREÇOS DO MPDG) (B)</t>
  </si>
  <si>
    <t>VALOR TOTAL (A x B)</t>
  </si>
  <si>
    <t>Camiseta malha fria PV, manga curta, gola V e emblema da empresa.</t>
  </si>
  <si>
    <t>Unidade</t>
  </si>
  <si>
    <t>Camiseta malha fria PV, manga longa com punho, gola V e emblema da empresa.</t>
  </si>
  <si>
    <t>Calça Comprida  confeccionada em tecido em brim,com elástico e cadarço na cintura, bolso somente no quadril.</t>
  </si>
  <si>
    <t>Pares de meia em algodão</t>
  </si>
  <si>
    <t>Par</t>
  </si>
  <si>
    <t>TOTAL ANUAL:</t>
  </si>
  <si>
    <t>TOTAL MENSAL POR SERVENTE:</t>
  </si>
  <si>
    <t>SEM O PIS/COFINS (9,25%):</t>
  </si>
  <si>
    <t>EPI's</t>
  </si>
  <si>
    <t>Bota de borracha (Ocupacional) confeccionado em PVC injetado, impermeável, na cor preta, solado antiderrapante, acabamento interior em meia de poliéster, cano médio.</t>
  </si>
  <si>
    <t>Luva de látex cano longo</t>
  </si>
  <si>
    <t>Máscara Descartável para pó</t>
  </si>
  <si>
    <t>Sapatos de Segurança, Sapato em EVA com solado antiderrapante, fechado na parte do calcanhar e na parte superior, impermeável, resistente a absorção de energia elétrica, cor preta, em conformidade com NR-32.</t>
  </si>
  <si>
    <t xml:space="preserve"> </t>
  </si>
  <si>
    <t>MATERIAIS DE LIMPEZA - SANEANTES DOMISSANITÁRIOS</t>
  </si>
  <si>
    <t>ITEM</t>
  </si>
  <si>
    <t>PERIODICIDADE DE REPOSIÇÃO</t>
  </si>
  <si>
    <t>QUANTIDADES</t>
  </si>
  <si>
    <t>VALORES</t>
  </si>
  <si>
    <t>POR PERÍODO DE REPOSIÇÃO</t>
  </si>
  <si>
    <t>TOTAL ANUAL</t>
  </si>
  <si>
    <t>UNITÁRIO (PAINEL DE PREÇOS DO MPDG)</t>
  </si>
  <si>
    <t>TOTAL ANUAL POR ITEM</t>
  </si>
  <si>
    <t>ÁGUA SANITÁRIA, uso doméstico, a base de hipoclorito de sódio, com dados de identificação do produto, marca do fabricante, data de fabricação, prazo de validade e registro no Ministério da Saúde</t>
  </si>
  <si>
    <t>GALÃO COM 5 LITROS</t>
  </si>
  <si>
    <t>MENSAL</t>
  </si>
  <si>
    <t>ÁLCOOL ETÍLICO LIMPEZA DE AMBIENTES, TIPO ETÍLICO HIDRATADO, CONCENTRAÇÃO 70 POR CENTO (70 GL), COMPOSIÇÃO HIDROALCÓOLICA, APARÊNCIA VISUAL GEL, APLICAÇÃO PRODUTO LIMPEZA DOMÉSTICA</t>
  </si>
  <si>
    <t>ALCOOL ETILICO, HIDRATADO, CONCENTRACAO 70 POR CENTO (70 GL), ASPECTO FISICO LIQUIDO.</t>
  </si>
  <si>
    <t>CERA LÍQUIDA, cor: branca, características adicionais: autobrilho, resistente e antiestático, aplicação: tratamento de pisos</t>
  </si>
  <si>
    <t>DESINFETANTE para uso geral bruto, com ação germicida, bactericida e fungicida, super concentrado; com teores conforme programa de análise do INMETRO</t>
  </si>
  <si>
    <t>DESODORIZADOR de ambiente, desodorizador com essências, apresentação aerosol, aplicação aromatizador ambiental, características adicionais não contem CFC. Frasco 500 ml</t>
  </si>
  <si>
    <t>FRASCO COM 500 ML.</t>
  </si>
  <si>
    <t>DETERGENTE amoniacal para piso</t>
  </si>
  <si>
    <t>DETERGENTE de limpeza, composto de agente alcalino, soluente, detergente sintético linear, alquibenzeno, sulfonato de sódio, para remoção de gordura e sujeira em geral, contendo tensoativo biodegradável, OBS: NEUTRO.</t>
  </si>
  <si>
    <t>FRASCO 500 ML</t>
  </si>
  <si>
    <t xml:space="preserve">DISCO DE FIBRA 310mm, cor verde, compatível com encerador industrial </t>
  </si>
  <si>
    <t>TRIMESTRAL</t>
  </si>
  <si>
    <t xml:space="preserve">DISCO DE FIBRA 310mm, cor preta, compatível com encerador industrial </t>
  </si>
  <si>
    <t>ESPONJA DE FIBRA USO GERAL, tamanho: 225mmx101mmx110mm, cor verde</t>
  </si>
  <si>
    <t>PACOTE COM 10 UNIDADES</t>
  </si>
  <si>
    <t>ESPONJA PARA LIMPEZA, espuma/fibra, sintética, retangular, alta/mínima, limpeza geral, dupla face (uma macia e outra áspera).</t>
  </si>
  <si>
    <t>PACOTE COM 3 UNIDADES</t>
  </si>
  <si>
    <t>FLANELA, 100% algodão, branca para uso geral de 60 x 40 cm</t>
  </si>
  <si>
    <t>GASOLINA para roçadeira e soprador</t>
  </si>
  <si>
    <t>LITROS</t>
  </si>
  <si>
    <t>INSETICIDA, combate a pragas, aerossol em base aquosa multi plus, mínimo cheiro.</t>
  </si>
  <si>
    <t>FRASCO COM 300 ML</t>
  </si>
  <si>
    <t>PANO DE CHÃO de saco alvejado especial 50x70, para limpeza de piso - cor branca.</t>
  </si>
  <si>
    <t>PAPEL HIGIÊNICO, rolão com 300m x 10cm, 100% celulose virgem, folha dupla, cor branca, extramacio, não picotado, compatível com o modelo do dispenser</t>
  </si>
  <si>
    <t>FARDO COM 8 ROLOS</t>
  </si>
  <si>
    <t>PAPEL TOALHA, 20 x 20 cm inter-folhado com 1.000 folhas de alta absorção, cor branca, macias, absorventes e econômicas, maços embalados individualmente, compatível com o modelo do dispenser</t>
  </si>
  <si>
    <t>PACOTE COM 1000 FOLHAS</t>
  </si>
  <si>
    <t>REFIL DE BORRACHA para rodo em alumínio 50 cm</t>
  </si>
  <si>
    <t>REFIL DE BORRACHA para rodo em alumínio 60 cm</t>
  </si>
  <si>
    <t>REFIL DE BORRACHA para rodo em alumínio 80 cm</t>
  </si>
  <si>
    <t>REFIL LIMPADOR VIDRO, material: borracha, aplicação: rodo limpa-vidro, compatível com o kit de limpeza de vidros</t>
  </si>
  <si>
    <t>REFIL MOP úmido algodão compatível com o cabo.</t>
  </si>
  <si>
    <t>REFIL MOP seco algodão compatível com o cabo.</t>
  </si>
  <si>
    <t>SABÃO EM BARRA (Saponáceo), composição: sabão,quatzito,agente abrasivo, aplicação: limpeza, aspecto físico: barra de 200 gramas</t>
  </si>
  <si>
    <t>PACOTE COM 5 UNIDADES</t>
  </si>
  <si>
    <t>SABÃO EM PÓ (Saponáceo), para lavagem de roupas, Composição: alquil benzeno sulfato de sódio, corante, Fragrância Floral Embalagem com 1000 g, Embalagem com impressão do nome do fabricante e indicação de registro na ANVISA/MS. Tensoativo aniônico biodegradável. Prazo de validade impresso na embalagem e não inferior a 11 meses contados da data de recebimento definitivo</t>
  </si>
  <si>
    <t>SABONETE LÍQUIDO, perfumado, acidez neutro, aplicação saboneteira para sabonetes líquidos. Embalagem de 5 litros. Liberado pela ANVISA. com dados do fabricante, data de fabricação e prazo de validade e registro no Ministério da Saúde</t>
  </si>
  <si>
    <t>EMBALAGEM DE 5 LITROS</t>
  </si>
  <si>
    <t>SACO PLÁSTICO PARA LIXO 60 LITROS, Cor preta. Dimensões: 40 cm x 60 cm, podendo variar em + 5,0 cm Resistente ao peso mínimo de 5 kg deverá estar de acordo com as normas da ABNT NBR 9190,9191, 9195, 14474 e 13056.</t>
  </si>
  <si>
    <t>PACOTE COM 100 UNIDADES</t>
  </si>
  <si>
    <t>SACO PLÁSTICO PARA LIXO DE 100 LITROS, cor: preta, 7 micras, deverá estar de acordo com as normas da ABNT NBR 9190,9191, 9195, 14474 e 13056.</t>
  </si>
  <si>
    <t>SOLUÇÃO IMPERMEABILIZANTE PARA PISOS</t>
  </si>
  <si>
    <t>SOLUÇÃO DE LIMPEZA MULTIUSO CONCENTRADO, composição básica: aquilbenzeno, sulfonato de sódio, tensoativo não, aspecto físico: líquido, tipo uso: limpeza, aplicação: limpeza geral, cor: incolor</t>
  </si>
  <si>
    <t>SOLUÇÃO DE LIMPEZA MULTIUSO, composição básica: aquilbenzeno, sulfonato de sódio, tensoativo não, aspecto físico: líquido, tipo uso: limpeza, aplicação: limpeza geral, cor: incolor</t>
  </si>
  <si>
    <t>FRASCO COM 500 ML</t>
  </si>
  <si>
    <t>SOLUÇÃO DE LIMPEZA PARA MÓVEIS (lustrador móveis), componentes: cera microcristalina, óleo parafínico, silicone, a, aroma: lavanda, aplicação: móveis e superfícies lisas, aspecto físico: pastoso</t>
  </si>
  <si>
    <t>FRASCO COM 200 ML</t>
  </si>
  <si>
    <t>SOLUÇÃO DE LIMPEZA PARA PEDRA (limpa pedra)</t>
  </si>
  <si>
    <t>SOLUÇÃO DE LIMPEZA PARA VIDROS (limpa vidro)</t>
  </si>
  <si>
    <t>TOTAL ANUAL DOS MATERIAIS DE LIMPEZA - SANEANTES DOMISSANITÁRIOS:</t>
  </si>
  <si>
    <t>MATERIAIS COMPLEMENTARES - UTENSÍLIOS</t>
  </si>
  <si>
    <t>ESPANADOR, material penas, cabo madeira, comprimento cabo 40 cm, características adicionais torneado e reforçado.</t>
  </si>
  <si>
    <t>SEMESTRAL</t>
  </si>
  <si>
    <t>BALDE PLÁSTICO, capacidade 12 litros, cor preta</t>
  </si>
  <si>
    <t>BORRIFADOR, material: plástico, tipo: spray, contendo bico borrifador, capacidade: 500 ml, aplicação: acondicionar solução reveladora</t>
  </si>
  <si>
    <t>DISPENSER HIGIENIZADOR, material: plástico abs, capacidade: 800 ml, tipo fixação: parede, cor: branca, aplicação: mãos, características adicionais: visor frontal para álcool gel ou sabonete líquido</t>
  </si>
  <si>
    <t>DISPENSER PARA PAPEL TOALHA, material: plástico abs, tipo: interfolha, cor: branca, características adicionais:: fixação por bucha e parafusos, visor e chave, dimensões: 260 x 315 x 125 mm</t>
  </si>
  <si>
    <t>ESCOVA de Roupa, material corpo madeira, tratamento superficial envernizado, material cerdas sintético, cor cerdas branca e marrom. Tamanho aproximado 12 x 7 cm.</t>
  </si>
  <si>
    <t>ESCOVA de nylon para enceradeira industrial 350mm</t>
  </si>
  <si>
    <t>ANUAL</t>
  </si>
  <si>
    <t>ESCOVA para vaso sanitário</t>
  </si>
  <si>
    <t>ESPÁTULA MULTIUSO DE AÇO INOX 120mm</t>
  </si>
  <si>
    <t>EXTENSÃO ELÉTRICA com cabo pp 3x2,5mm com 50 m de comprimento (com suporte)</t>
  </si>
  <si>
    <t>MANGUEIRA DE BORRACHA ¾, medindo 50 mts comprimento.</t>
  </si>
  <si>
    <t>PÁ PARA LIXO com caixa coletora em polipropileno, com cabo 80 cm em alumínio/madeira</t>
  </si>
  <si>
    <t>PÁ PARA LIXO galvanizada com cabo alumínio/madeira</t>
  </si>
  <si>
    <t>PLACA DE SINALIZAÇÃO, descrição: CUIDADO PISO MOLHADO</t>
  </si>
  <si>
    <t>PLACA DE SINALIZAÇÃO, descrição: EM LIMPEZA</t>
  </si>
  <si>
    <t>PLACA DE SINALIZAÇÃO, descrição: EM MANUTENÇÃO</t>
  </si>
  <si>
    <t>PNEU COM CÂMARA DE AR Aro 3.5/8" para carrinho de mão</t>
  </si>
  <si>
    <t>PORTA PAPEL HIGIÊNICO, material: chapa zincada, largura: 12,50 cm, altura: 27 cm, características adicionais: p, rolo de 300 a 400 m, com dobradiça e fechadura, formato: redondo, instalação: fixo sobreposto na parede, cor: branca</t>
  </si>
  <si>
    <t>RODO 50 cm, em alumínio, com cabo em alumínio de 1,40 cm</t>
  </si>
  <si>
    <t>RODO 60 cm, em alumínio, com cabo em alumínio de 1,40 cm</t>
  </si>
  <si>
    <t>RODO 80 cm, em alumínio, com cabo em alumínio de 1,40 cm</t>
  </si>
  <si>
    <t>SUPORTE DE VELCRO para enceradeira industrial de 350mm s/ flange</t>
  </si>
  <si>
    <t>VASCULHADOR Para teto com cabo extensor</t>
  </si>
  <si>
    <t>VASSOURA DE JARDINAGEM, tipo: regulável, material cerdas: aço sae 1070, características adicionais: comprimento cabo: 120 cm,cerdas redondas, quantidade lâminas: 22 un</t>
  </si>
  <si>
    <t>VASSOURA, material cerdas náilon, material cabo de alumínio, comprimento cepa 30, comprimento cerdas 8 cm, com cabo, aplicação limpeza em geral.</t>
  </si>
  <si>
    <t>VASSOURA, material cerdas palha, material cepa madeira, comprimento cepa 15 cm, características adicionais com cabo madeira de 2 m, largura cepa 15 cm</t>
  </si>
  <si>
    <t>VASSOURA, material cerdas: piaçava, material cepa: chapa de aço, comprimento cepa: 21 cm, características adicionais: com cabo madeira</t>
  </si>
  <si>
    <t>Kit EPI para roçadeira, contendo 01 Boné Roçador laranja com protetor de nuca de 20cm e protetor facial em tela de nylon; 01 Protetor auricular laranja concha de 14DB; 01 Avental de Bagum branco medindo 1,10 cm de altura x 0,70cm de largura; 01 Luva de Couro Vaqueta e Nylon modelo Florestal; 01 Perneira em Couro sintético MFA na cor preta</t>
  </si>
  <si>
    <t>TOTAL ANUAL DOS MATERIAIS COMPLEMENTARES - UTENSÍLIOS:</t>
  </si>
  <si>
    <t>TOTAL GERAL ANUAL:</t>
  </si>
  <si>
    <t>TOTAL GERAL MENSAL:</t>
  </si>
  <si>
    <t>ESTIMATIVA DE PREÇOS - EQUIPAMENTOS</t>
  </si>
  <si>
    <t>DEPRECIAÇÃO E MANUTENÇÃO DE EQUIPAMENTOS E FERRAMENTAS</t>
  </si>
  <si>
    <t>DESCRIÇÃO</t>
  </si>
  <si>
    <t>QUANTIDADE</t>
  </si>
  <si>
    <t>VALOR UNITÁRIO ESTIMADO (PAINEL DE PREÇOS DO MPDG)</t>
  </si>
  <si>
    <t>VALOR UNITÁRIO ESTIMADO  (R$)</t>
  </si>
  <si>
    <t>VALOR TOTAL  (A)  (R$)</t>
  </si>
  <si>
    <t>MANUTENÇÃO MENSAL (B) (0,25% X A)  (R$)</t>
  </si>
  <si>
    <t>MESES DE VIDA ÚTIL ESTIMADA (D)</t>
  </si>
  <si>
    <t>DEPRECIAÇÃO (E) (A / D)  (R$)</t>
  </si>
  <si>
    <t>CUSTO MENSAL (B+C+D)  (R$)</t>
  </si>
  <si>
    <t>ASPIRADOR DE PÓ E LÍQUIDO de 1380W ou superior, tensão de 127V, frequencia de 60Hz, com reservatório resistente a óleo e capacidade mínima de 48L, acompanhado de mangueira prolongadora de 2,5m (modelo de referência NT 48/1 - KARCHER)</t>
  </si>
  <si>
    <t>CARRINHO DE MÃO 50 Litros</t>
  </si>
  <si>
    <t>CONTAINER DE LIXO com tampa e com rodas, capacidade de 240 litros</t>
  </si>
  <si>
    <t>CONTAINER DE LIXO com tampa e com rodas, capacidade de 1000 litros</t>
  </si>
  <si>
    <t>ESCADA EM ALUMÍNIO com 3 degraus</t>
  </si>
  <si>
    <t>ESCADA EM ALUMÍNIO com 8 degraus</t>
  </si>
  <si>
    <t>ENCERADEIRA INDUSTRIAL com discos 350mm com suporte para disco e escova de nylon + discos para lavar, bivolt.</t>
  </si>
  <si>
    <t>ENXADA 24 cm, com cabo de madeira 145cm</t>
  </si>
  <si>
    <t>FACÃO em aço carbono de 16"</t>
  </si>
  <si>
    <t xml:space="preserve">KIT DE JARDINAGEM PROFISSIONAL, contendo pá de mão pequena, pá de mão média, rastelo de mão, tesoura de poda pequena, tesoura de poda pequena, espeto para poda de pequenos galhos, foice pequena e luvas de proteção. </t>
  </si>
  <si>
    <t>KIT DE LIMPEZA DE VIDROS com bolsa, contendo extensão telescópica 1 a 3 metros, cabo de fixação, guia removível 15 cm, guia removível 25 cm, guia removível 35 cm, guia removível 45 cm, raspador de segurança, lâminas para raspador de segurança, raspador multiuso, lâminas para raspador multiuso, lavador de vidro 35 cm, luva para lavador 35 cm, lâmina de borracha 91 cm, suporte LT para uso de fibra, fibra macia, espanador eletrotático e adaptador angular (modelo de referência KIT MASTER KT903 - Bralimpia)</t>
  </si>
  <si>
    <t>KIT DE LIMPEZA PROFISSIONAL, contendo carro funcional, balde doblô 30 litros - 2 águas, cabo telescópico - 1,40 m, garra plástica, refi L Loop com cinta 320 g, placa sinalizadora piso molhado, Pá pop e conjunto Mop Pó - 60 cm (modelo de referência NYKT03 - Bralimpia)</t>
  </si>
  <si>
    <t>LAVADORA DE ALTA PRESSÃO PROFISSIONAL, tensão 127V, frequencia 60Hz, pressão 1740 PSI ou superior (modelo de referência K 3.98 M - KARCHER)</t>
  </si>
  <si>
    <t>ROÇADEIRA LATERAL a combustão com fio de corte, motor de 35 cilindradas e 2,20 cv, acompanhando de cinto de suporte (modelo de referência FS 220, TrimCut 41-2 (fio de corte) - STIHL)</t>
  </si>
  <si>
    <t>SERROTE DE PODA 14"</t>
  </si>
  <si>
    <t>SOPRADOR a combustão, motor de 27 cilindradas e 1,10 cv, acompanhando de cinto de suporte (modelo de referência BG 86 C-E - STIHL)</t>
  </si>
  <si>
    <t>TESOURÃO PARA PODA em aço carbono com cabo de madeira de 60cm</t>
  </si>
  <si>
    <t>TOTAL MENSAL:</t>
  </si>
  <si>
    <r>
      <rPr>
        <b/>
        <sz val="14"/>
        <color rgb="FFFFFFFF"/>
        <rFont val="Arial"/>
      </rPr>
      <t xml:space="preserve">ESTIMATIVA DE PREÇOS POR M² </t>
    </r>
    <r>
      <rPr>
        <b/>
        <sz val="9"/>
        <color rgb="FFFFFFFF"/>
        <rFont val="Arial"/>
      </rPr>
      <t xml:space="preserve">
(considerando as produtividades-padrão da IN SEGES nº 05/2017)</t>
    </r>
  </si>
  <si>
    <t>TOTAL DE POSTOS SUGERIDOS (INCLUSO LIMPEZA DOS BANHEIROS):</t>
  </si>
  <si>
    <t>TOTAL DE POSTOS SUGERIDOS PARA LIMPEZA DOS BANHEIROS:</t>
  </si>
  <si>
    <t>PREÇO TOTAL MENSAL:</t>
  </si>
  <si>
    <t>PREÇO TOTAL ANUAL:</t>
  </si>
  <si>
    <t>TIPO DE ÁREA</t>
  </si>
  <si>
    <t>DESCRIÇÃO DA ÁREA</t>
  </si>
  <si>
    <t>ÁREA (M²) (A)</t>
  </si>
  <si>
    <t>FREQUÊNCIA DE LIMPEZA</t>
  </si>
  <si>
    <t>PROD. ADOTADA (C)</t>
  </si>
  <si>
    <t>ÁREA AJUSTADA (D = A x B)</t>
  </si>
  <si>
    <t>Nº DE POSTOS SUGERIDOS (D/C)</t>
  </si>
  <si>
    <t>PREÇOS</t>
  </si>
  <si>
    <t>TOTAL POR TIPO DE ÁREA (D x G)</t>
  </si>
  <si>
    <t>QUANT. MÊS (B)</t>
  </si>
  <si>
    <t>PREÇO HOMEM-MÊS (E)</t>
  </si>
  <si>
    <t xml:space="preserve">PROD. (1/MÊS) 
(F = 1/C) </t>
  </si>
  <si>
    <t xml:space="preserve">SUBTOTAL 
(G = E + F) </t>
  </si>
  <si>
    <t>INTERNA</t>
  </si>
  <si>
    <t>ALOJAMENTOS</t>
  </si>
  <si>
    <t>DIARIAMENTE, UMA VEZ</t>
  </si>
  <si>
    <t>AVIÁRIOS</t>
  </si>
  <si>
    <t>MENSALMENTE, UMA VEZ</t>
  </si>
  <si>
    <t>CIRCULAÇÃO INTERNA (CORREDORES, SAGUÃO E HALL'S DE ACESSO)</t>
  </si>
  <si>
    <t>SALAS DE USO GERAL E REFEITÓRIO</t>
  </si>
  <si>
    <t>DIARIAMENTE, DUAS VEZES</t>
  </si>
  <si>
    <t>INTERNA (BANHEIRO)</t>
  </si>
  <si>
    <t>BANHEIRO - ATÉ 20 PESSOAS</t>
  </si>
  <si>
    <t>ESQUADRIA EXTERNA</t>
  </si>
  <si>
    <t>JANELAS (FACE INTERNA E FACE EXTERNA) E PORTAS (FACE INTERNA E EXTERNA)</t>
  </si>
  <si>
    <t>SEMESTRALMENTE, DUAS VEZES</t>
  </si>
  <si>
    <t>EXTERNA</t>
  </si>
  <si>
    <t>ÁREAS EXTERNAS COM PISO (CALÇADAS)</t>
  </si>
  <si>
    <t>ÁREAS EXTERNAS COM VEGETAÇÃO</t>
  </si>
  <si>
    <t>SEMANALMENTE, UMA VEZ</t>
  </si>
  <si>
    <t>TOTAL:</t>
  </si>
  <si>
    <t>--------------</t>
  </si>
  <si>
    <r>
      <rPr>
        <b/>
        <sz val="9"/>
        <color theme="1"/>
        <rFont val="Arial"/>
      </rPr>
      <t xml:space="preserve">MEMÓRIA DE CÁLCULO: </t>
    </r>
    <r>
      <rPr>
        <sz val="9"/>
        <color theme="1"/>
        <rFont val="Arial"/>
      </rPr>
      <t xml:space="preserve">
- ÁREA AJUSTADA (D) = ÁREA (A) X FREQUÊNCIA DE LIMPEZA (B); 
- Nº DE POSTOS SUGERIDOS = ÁREA AJUSTADA (D) / PRODUTIVIDADE ADOTADA POR TIPO DE ÁREA (C)
- PRODUTIVIDADE DO SERVENTE (F) = 1 / PRODUTIVIDADE ADOTADA POR TIPO DE ÁREA (C); 
- CUSTO UNITÁRIO POR TIPO DE ÁREA (G) = PREÇO HOMEM-MÊS (E) X - PRODUTIVIDADE DO SERVENTE (F);
- CUSTO TOTAL POR TIPO DE ÁREA = ÁREA AJUSTADA (D) X CUSTO UNITÁRIO TOTAL POR TIPO DE ÁREA (G)</t>
    </r>
  </si>
</sst>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R$ -416]#,##0.00"/>
    <numFmt numFmtId="165" formatCode="d/m/yyyy"/>
    <numFmt numFmtId="166" formatCode="&quot;R$ &quot;#,##0.00"/>
    <numFmt numFmtId="167" formatCode="&quot;R$ &quot;#,##0.00;[Red]&quot;-R$ &quot;#,##0.00"/>
    <numFmt numFmtId="168" formatCode="&quot; R$ &quot;* #,##0.00\ ;&quot; R$ &quot;* \(#,##0.00\);&quot; R$ &quot;* \-#\ ;@\ "/>
    <numFmt numFmtId="169" formatCode="&quot; R$ &quot;* #,##0.00\ ;&quot;-R$ &quot;* #,##0.00\ ;&quot; R$ &quot;* \-#\ ;@\ "/>
    <numFmt numFmtId="170" formatCode="_([$R$ -416]* #,##0.00_);_([$R$ -416]* \(#,##0.00\);_([$R$ -416]* &quot;-&quot;??_);_(@_)"/>
    <numFmt numFmtId="171" formatCode="#,##0.000000"/>
  </numFmts>
  <fonts count="14" x14ac:knownFonts="1">
    <font>
      <sz val="10"/>
      <color rgb="FF000000"/>
      <name val="Arial"/>
    </font>
    <font>
      <b/>
      <sz val="14"/>
      <color rgb="FFFFFFFF"/>
      <name val="Arial"/>
    </font>
    <font>
      <sz val="10"/>
      <name val="Arial"/>
    </font>
    <font>
      <b/>
      <sz val="10"/>
      <color rgb="FF000000"/>
      <name val="Arial"/>
    </font>
    <font>
      <b/>
      <sz val="10"/>
      <color rgb="FF000000"/>
      <name val="Arial"/>
    </font>
    <font>
      <sz val="10"/>
      <color theme="1"/>
      <name val="Arial"/>
    </font>
    <font>
      <b/>
      <sz val="10"/>
      <color theme="1"/>
      <name val="Arial"/>
    </font>
    <font>
      <b/>
      <sz val="10"/>
      <color rgb="FFFFFFFF"/>
      <name val="Arial"/>
    </font>
    <font>
      <sz val="10"/>
      <color theme="1"/>
      <name val="Calibri"/>
    </font>
    <font>
      <sz val="10"/>
      <color theme="1"/>
      <name val="Arial"/>
    </font>
    <font>
      <sz val="10"/>
      <color rgb="FF000000"/>
      <name val="Arial"/>
    </font>
    <font>
      <b/>
      <sz val="9"/>
      <color rgb="FFFFFFFF"/>
      <name val="Arial"/>
    </font>
    <font>
      <b/>
      <sz val="9"/>
      <color theme="1"/>
      <name val="Arial"/>
    </font>
    <font>
      <sz val="9"/>
      <color theme="1"/>
      <name val="Arial"/>
    </font>
  </fonts>
  <fills count="10">
    <fill>
      <patternFill patternType="none"/>
    </fill>
    <fill>
      <patternFill patternType="gray125"/>
    </fill>
    <fill>
      <patternFill patternType="solid">
        <fgColor rgb="FF38761D"/>
        <bgColor rgb="FF38761D"/>
      </patternFill>
    </fill>
    <fill>
      <patternFill patternType="solid">
        <fgColor rgb="FFD9EAD3"/>
        <bgColor rgb="FFD9EAD3"/>
      </patternFill>
    </fill>
    <fill>
      <patternFill patternType="solid">
        <fgColor rgb="FFCCCCCC"/>
        <bgColor rgb="FFCCCCCC"/>
      </patternFill>
    </fill>
    <fill>
      <patternFill patternType="solid">
        <fgColor rgb="FFFFFFFF"/>
        <bgColor rgb="FFFFFFFF"/>
      </patternFill>
    </fill>
    <fill>
      <patternFill patternType="solid">
        <fgColor rgb="FFD9D9D9"/>
        <bgColor rgb="FFD9D9D9"/>
      </patternFill>
    </fill>
    <fill>
      <patternFill patternType="solid">
        <fgColor rgb="FFFFFF00"/>
        <bgColor rgb="FFFFFF00"/>
      </patternFill>
    </fill>
    <fill>
      <patternFill patternType="solid">
        <fgColor rgb="FF6AA84F"/>
        <bgColor rgb="FF6AA84F"/>
      </patternFill>
    </fill>
    <fill>
      <patternFill patternType="solid">
        <fgColor rgb="FFEFEFEF"/>
        <bgColor rgb="FFEFEFEF"/>
      </patternFill>
    </fill>
  </fills>
  <borders count="27">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style="thin">
        <color rgb="FF757070"/>
      </left>
      <right/>
      <top/>
      <bottom/>
      <diagonal/>
    </border>
    <border>
      <left/>
      <right/>
      <top/>
      <bottom/>
      <diagonal/>
    </border>
    <border>
      <left/>
      <right style="thin">
        <color rgb="FF757070"/>
      </right>
      <top/>
      <bottom/>
      <diagonal/>
    </border>
    <border>
      <left/>
      <right/>
      <top/>
      <bottom style="thin">
        <color rgb="FF757070"/>
      </bottom>
      <diagonal/>
    </border>
    <border>
      <left/>
      <right style="thin">
        <color rgb="FF757070"/>
      </right>
      <top/>
      <bottom style="thin">
        <color rgb="FF757070"/>
      </bottom>
      <diagonal/>
    </border>
    <border>
      <left/>
      <right/>
      <top/>
      <bottom/>
      <diagonal/>
    </border>
    <border>
      <left/>
      <right/>
      <top/>
      <bottom/>
      <diagonal/>
    </border>
  </borders>
  <cellStyleXfs count="1">
    <xf numFmtId="0" fontId="0" fillId="0" borderId="0"/>
  </cellStyleXfs>
  <cellXfs count="147">
    <xf numFmtId="0" fontId="0" fillId="0" borderId="0" xfId="0" applyFont="1" applyAlignment="1"/>
    <xf numFmtId="0" fontId="0" fillId="0" borderId="15" xfId="0" applyFont="1" applyBorder="1" applyAlignment="1">
      <alignment horizontal="center" vertical="center" wrapText="1"/>
    </xf>
    <xf numFmtId="0" fontId="0" fillId="0" borderId="15" xfId="0" applyFont="1" applyBorder="1" applyAlignment="1">
      <alignment horizontal="center" vertical="center" wrapText="1"/>
    </xf>
    <xf numFmtId="164" fontId="0" fillId="0" borderId="15" xfId="0" applyNumberFormat="1" applyFont="1" applyBorder="1" applyAlignment="1">
      <alignment horizontal="center" vertical="center" wrapText="1"/>
    </xf>
    <xf numFmtId="165" fontId="0" fillId="0" borderId="15" xfId="0" applyNumberFormat="1" applyFont="1" applyBorder="1" applyAlignment="1">
      <alignment horizontal="center" vertical="center" wrapText="1"/>
    </xf>
    <xf numFmtId="0" fontId="3" fillId="4" borderId="15" xfId="0" applyFont="1" applyFill="1" applyBorder="1" applyAlignment="1">
      <alignment horizontal="center" vertical="center" wrapText="1"/>
    </xf>
    <xf numFmtId="166" fontId="0" fillId="5" borderId="15" xfId="0" applyNumberFormat="1" applyFont="1" applyFill="1" applyBorder="1" applyAlignment="1">
      <alignment horizontal="center" vertical="center" wrapText="1"/>
    </xf>
    <xf numFmtId="166" fontId="0" fillId="0" borderId="15" xfId="0" applyNumberFormat="1" applyFont="1" applyBorder="1" applyAlignment="1">
      <alignment horizontal="center" vertical="center" wrapText="1"/>
    </xf>
    <xf numFmtId="0" fontId="0" fillId="4" borderId="15" xfId="0" applyFont="1" applyFill="1" applyBorder="1" applyAlignment="1">
      <alignment horizontal="center" vertical="center" wrapText="1"/>
    </xf>
    <xf numFmtId="166" fontId="3" fillId="4" borderId="15" xfId="0" applyNumberFormat="1" applyFont="1" applyFill="1" applyBorder="1" applyAlignment="1">
      <alignment horizontal="center" vertical="center" wrapText="1"/>
    </xf>
    <xf numFmtId="0" fontId="0" fillId="0" borderId="15" xfId="0" applyFont="1" applyBorder="1" applyAlignment="1">
      <alignment vertical="center" wrapText="1"/>
    </xf>
    <xf numFmtId="0" fontId="3" fillId="6" borderId="15" xfId="0" applyFont="1" applyFill="1" applyBorder="1" applyAlignment="1">
      <alignment horizontal="center" vertical="center" wrapText="1"/>
    </xf>
    <xf numFmtId="166" fontId="3" fillId="0" borderId="15" xfId="0" applyNumberFormat="1" applyFont="1" applyBorder="1" applyAlignment="1">
      <alignment horizontal="center" vertical="center" wrapText="1"/>
    </xf>
    <xf numFmtId="0" fontId="3" fillId="4" borderId="15" xfId="0" applyFont="1" applyFill="1" applyBorder="1" applyAlignment="1">
      <alignment vertical="center" wrapText="1"/>
    </xf>
    <xf numFmtId="10" fontId="0" fillId="0" borderId="15" xfId="0" applyNumberFormat="1" applyFont="1" applyBorder="1" applyAlignment="1">
      <alignment horizontal="center" vertical="center" wrapText="1"/>
    </xf>
    <xf numFmtId="10" fontId="3" fillId="4" borderId="15" xfId="0" applyNumberFormat="1" applyFont="1" applyFill="1" applyBorder="1" applyAlignment="1">
      <alignment horizontal="center" vertical="center" wrapText="1"/>
    </xf>
    <xf numFmtId="167" fontId="0" fillId="5" borderId="15" xfId="0" applyNumberFormat="1" applyFont="1" applyFill="1" applyBorder="1" applyAlignment="1">
      <alignment horizontal="center" vertical="center" wrapText="1"/>
    </xf>
    <xf numFmtId="0" fontId="0" fillId="0" borderId="15" xfId="0" applyFont="1" applyBorder="1" applyAlignment="1">
      <alignment horizontal="left" vertical="center" wrapText="1"/>
    </xf>
    <xf numFmtId="166" fontId="3" fillId="0" borderId="15" xfId="0" applyNumberFormat="1" applyFont="1" applyBorder="1" applyAlignment="1">
      <alignment horizontal="center" vertical="center"/>
    </xf>
    <xf numFmtId="10" fontId="0" fillId="7" borderId="15" xfId="0" applyNumberFormat="1" applyFont="1" applyFill="1" applyBorder="1" applyAlignment="1">
      <alignment horizontal="center" vertical="center" wrapText="1"/>
    </xf>
    <xf numFmtId="166" fontId="3" fillId="6" borderId="15" xfId="0" applyNumberFormat="1" applyFont="1" applyFill="1" applyBorder="1" applyAlignment="1">
      <alignment horizontal="center" vertical="center" wrapText="1"/>
    </xf>
    <xf numFmtId="0" fontId="0" fillId="4" borderId="15" xfId="0" applyFont="1" applyFill="1" applyBorder="1" applyAlignment="1">
      <alignment vertical="center" wrapText="1"/>
    </xf>
    <xf numFmtId="166" fontId="3" fillId="3" borderId="15" xfId="0" applyNumberFormat="1" applyFont="1" applyFill="1" applyBorder="1" applyAlignment="1">
      <alignment horizontal="center" vertical="center" wrapText="1"/>
    </xf>
    <xf numFmtId="0" fontId="5" fillId="0" borderId="0" xfId="0" applyFont="1"/>
    <xf numFmtId="0" fontId="5" fillId="0" borderId="0" xfId="0" applyFont="1" applyAlignment="1">
      <alignment horizontal="center"/>
    </xf>
    <xf numFmtId="0" fontId="6" fillId="6" borderId="15" xfId="0" applyFont="1" applyFill="1" applyBorder="1" applyAlignment="1">
      <alignment horizontal="center" vertical="center"/>
    </xf>
    <xf numFmtId="0" fontId="6" fillId="6" borderId="15" xfId="0" applyFont="1" applyFill="1" applyBorder="1" applyAlignment="1">
      <alignment horizontal="center" vertical="center" wrapText="1"/>
    </xf>
    <xf numFmtId="0" fontId="6" fillId="6" borderId="19" xfId="0" applyFont="1" applyFill="1" applyBorder="1" applyAlignment="1">
      <alignment horizontal="center" vertical="center" wrapText="1"/>
    </xf>
    <xf numFmtId="0" fontId="0" fillId="0" borderId="15" xfId="0" applyFont="1" applyBorder="1" applyAlignment="1">
      <alignment horizontal="left" wrapText="1"/>
    </xf>
    <xf numFmtId="10" fontId="5" fillId="0" borderId="15" xfId="0" applyNumberFormat="1" applyFont="1" applyBorder="1" applyAlignment="1">
      <alignment horizontal="center" vertical="center"/>
    </xf>
    <xf numFmtId="10" fontId="5" fillId="0" borderId="3" xfId="0" applyNumberFormat="1" applyFont="1" applyBorder="1" applyAlignment="1">
      <alignment horizontal="center" vertical="center"/>
    </xf>
    <xf numFmtId="10" fontId="6" fillId="0" borderId="15" xfId="0" applyNumberFormat="1" applyFont="1" applyBorder="1" applyAlignment="1">
      <alignment horizontal="center" vertical="center"/>
    </xf>
    <xf numFmtId="0" fontId="6" fillId="0" borderId="0" xfId="0" applyFont="1" applyAlignment="1">
      <alignment horizontal="center" vertical="center" wrapText="1"/>
    </xf>
    <xf numFmtId="0" fontId="3" fillId="0" borderId="15" xfId="0" applyFont="1" applyBorder="1" applyAlignment="1">
      <alignment horizontal="center" vertical="center" wrapText="1"/>
    </xf>
    <xf numFmtId="0" fontId="5" fillId="0" borderId="15" xfId="0" applyFont="1" applyBorder="1" applyAlignment="1">
      <alignment vertical="center" wrapText="1"/>
    </xf>
    <xf numFmtId="3" fontId="0" fillId="0" borderId="15" xfId="0" applyNumberFormat="1" applyFont="1" applyBorder="1" applyAlignment="1">
      <alignment horizontal="center" vertical="center" wrapText="1"/>
    </xf>
    <xf numFmtId="168" fontId="0" fillId="0" borderId="15" xfId="0" applyNumberFormat="1" applyFont="1" applyBorder="1" applyAlignment="1">
      <alignment horizontal="center" vertical="center" wrapText="1"/>
    </xf>
    <xf numFmtId="168" fontId="6" fillId="3" borderId="19" xfId="0" applyNumberFormat="1" applyFont="1" applyFill="1" applyBorder="1" applyAlignment="1">
      <alignment horizontal="right" vertical="center" wrapText="1"/>
    </xf>
    <xf numFmtId="168" fontId="6" fillId="6" borderId="19" xfId="0" applyNumberFormat="1" applyFont="1" applyFill="1" applyBorder="1" applyAlignment="1">
      <alignment horizontal="right" vertical="center" wrapText="1"/>
    </xf>
    <xf numFmtId="0" fontId="9" fillId="0" borderId="18" xfId="0" applyFont="1" applyBorder="1"/>
    <xf numFmtId="0" fontId="9" fillId="0" borderId="18" xfId="0" applyFont="1" applyBorder="1" applyAlignment="1">
      <alignment wrapText="1"/>
    </xf>
    <xf numFmtId="0" fontId="5" fillId="0" borderId="0" xfId="0" applyFont="1" applyAlignment="1">
      <alignment horizontal="center" vertical="center" wrapText="1"/>
    </xf>
    <xf numFmtId="0" fontId="10" fillId="0" borderId="18" xfId="0" applyFont="1" applyBorder="1" applyAlignment="1">
      <alignment vertical="center" wrapText="1"/>
    </xf>
    <xf numFmtId="0" fontId="10" fillId="0" borderId="11" xfId="0" applyFont="1" applyBorder="1" applyAlignment="1">
      <alignment horizontal="center" vertical="center" wrapText="1"/>
    </xf>
    <xf numFmtId="3" fontId="10" fillId="0" borderId="11" xfId="0" applyNumberFormat="1" applyFont="1" applyBorder="1" applyAlignment="1">
      <alignment horizontal="center" vertical="center"/>
    </xf>
    <xf numFmtId="3" fontId="9" fillId="0" borderId="11" xfId="0" applyNumberFormat="1" applyFont="1" applyBorder="1" applyAlignment="1">
      <alignment horizontal="center" vertical="center"/>
    </xf>
    <xf numFmtId="0" fontId="10" fillId="0" borderId="11" xfId="0" applyFont="1" applyBorder="1" applyAlignment="1">
      <alignment horizontal="center" vertical="center"/>
    </xf>
    <xf numFmtId="0" fontId="9" fillId="0" borderId="11" xfId="0" applyFont="1" applyBorder="1" applyAlignment="1">
      <alignment horizontal="center" vertical="center"/>
    </xf>
    <xf numFmtId="0" fontId="10" fillId="5" borderId="15" xfId="0" applyFont="1" applyFill="1" applyBorder="1" applyAlignment="1">
      <alignment horizontal="left" wrapText="1"/>
    </xf>
    <xf numFmtId="0" fontId="5" fillId="0" borderId="15" xfId="0" applyFont="1" applyBorder="1" applyAlignment="1">
      <alignment horizontal="center" vertical="center" wrapText="1"/>
    </xf>
    <xf numFmtId="0" fontId="9" fillId="0" borderId="15" xfId="0" applyFont="1" applyBorder="1" applyAlignment="1">
      <alignment horizontal="left"/>
    </xf>
    <xf numFmtId="0" fontId="9" fillId="0" borderId="18" xfId="0" applyFont="1" applyBorder="1" applyAlignment="1">
      <alignment horizontal="left"/>
    </xf>
    <xf numFmtId="168" fontId="6" fillId="3" borderId="15" xfId="0" applyNumberFormat="1" applyFont="1" applyFill="1" applyBorder="1" applyAlignment="1">
      <alignment vertical="center" wrapText="1"/>
    </xf>
    <xf numFmtId="168" fontId="7" fillId="8" borderId="15" xfId="0" applyNumberFormat="1" applyFont="1" applyFill="1" applyBorder="1" applyAlignment="1">
      <alignment vertical="center" wrapText="1"/>
    </xf>
    <xf numFmtId="169" fontId="6" fillId="6" borderId="15" xfId="0" applyNumberFormat="1" applyFont="1" applyFill="1" applyBorder="1" applyAlignment="1">
      <alignment horizontal="right"/>
    </xf>
    <xf numFmtId="0" fontId="6" fillId="3" borderId="15" xfId="0" applyFont="1" applyFill="1" applyBorder="1" applyAlignment="1">
      <alignment horizontal="center" vertical="center" wrapText="1"/>
    </xf>
    <xf numFmtId="0" fontId="5" fillId="0" borderId="15" xfId="0" applyFont="1" applyBorder="1" applyAlignment="1">
      <alignment horizontal="left" vertical="center" wrapText="1"/>
    </xf>
    <xf numFmtId="170" fontId="5" fillId="0" borderId="15" xfId="0" applyNumberFormat="1" applyFont="1" applyBorder="1" applyAlignment="1">
      <alignment horizontal="center" vertical="center"/>
    </xf>
    <xf numFmtId="4" fontId="5" fillId="3" borderId="15" xfId="0" applyNumberFormat="1" applyFont="1" applyFill="1" applyBorder="1" applyAlignment="1">
      <alignment horizontal="center" vertical="center"/>
    </xf>
    <xf numFmtId="1" fontId="5" fillId="3" borderId="15" xfId="0" applyNumberFormat="1" applyFont="1" applyFill="1" applyBorder="1" applyAlignment="1">
      <alignment horizontal="center" vertical="center" wrapText="1"/>
    </xf>
    <xf numFmtId="170" fontId="5" fillId="3" borderId="15" xfId="0" applyNumberFormat="1" applyFont="1" applyFill="1" applyBorder="1" applyAlignment="1">
      <alignment horizontal="center" vertical="center"/>
    </xf>
    <xf numFmtId="0" fontId="9" fillId="0" borderId="18" xfId="0" applyFont="1" applyBorder="1" applyAlignment="1">
      <alignment horizontal="left" wrapText="1"/>
    </xf>
    <xf numFmtId="0" fontId="9" fillId="0" borderId="15" xfId="0" applyFont="1" applyBorder="1" applyAlignment="1">
      <alignment wrapText="1"/>
    </xf>
    <xf numFmtId="0" fontId="5" fillId="0" borderId="18" xfId="0" applyFont="1" applyBorder="1" applyAlignment="1">
      <alignment horizontal="left" vertical="center" wrapText="1"/>
    </xf>
    <xf numFmtId="169" fontId="7" fillId="8" borderId="15" xfId="0" applyNumberFormat="1" applyFont="1" applyFill="1" applyBorder="1" applyAlignment="1">
      <alignment horizontal="center" wrapText="1"/>
    </xf>
    <xf numFmtId="4" fontId="9" fillId="0" borderId="0" xfId="0" applyNumberFormat="1" applyFont="1" applyAlignment="1">
      <alignment vertical="center"/>
    </xf>
    <xf numFmtId="4" fontId="12" fillId="3" borderId="15" xfId="0" applyNumberFormat="1" applyFont="1" applyFill="1" applyBorder="1" applyAlignment="1">
      <alignment horizontal="center" vertical="center" wrapText="1"/>
    </xf>
    <xf numFmtId="164" fontId="12" fillId="3" borderId="15" xfId="0" applyNumberFormat="1" applyFont="1" applyFill="1" applyBorder="1" applyAlignment="1">
      <alignment horizontal="center" vertical="center" wrapText="1"/>
    </xf>
    <xf numFmtId="4" fontId="13" fillId="0" borderId="15" xfId="0" applyNumberFormat="1" applyFont="1" applyBorder="1" applyAlignment="1">
      <alignment vertical="center" wrapText="1"/>
    </xf>
    <xf numFmtId="4" fontId="13" fillId="0" borderId="15" xfId="0" applyNumberFormat="1" applyFont="1" applyBorder="1" applyAlignment="1">
      <alignment horizontal="center" vertical="center" wrapText="1"/>
    </xf>
    <xf numFmtId="3" fontId="13" fillId="0" borderId="15" xfId="0" applyNumberFormat="1" applyFont="1" applyBorder="1" applyAlignment="1">
      <alignment horizontal="center" vertical="center"/>
    </xf>
    <xf numFmtId="4" fontId="13" fillId="0" borderId="15" xfId="0" applyNumberFormat="1" applyFont="1" applyBorder="1" applyAlignment="1">
      <alignment horizontal="center" vertical="center"/>
    </xf>
    <xf numFmtId="171" fontId="13" fillId="0" borderId="15" xfId="0" applyNumberFormat="1" applyFont="1" applyBorder="1" applyAlignment="1">
      <alignment horizontal="center" vertical="center"/>
    </xf>
    <xf numFmtId="164" fontId="13" fillId="0" borderId="15" xfId="0" applyNumberFormat="1" applyFont="1" applyBorder="1" applyAlignment="1">
      <alignment horizontal="center" vertical="center"/>
    </xf>
    <xf numFmtId="4" fontId="13" fillId="9" borderId="15" xfId="0" applyNumberFormat="1" applyFont="1" applyFill="1" applyBorder="1" applyAlignment="1">
      <alignment horizontal="center" vertical="center" wrapText="1"/>
    </xf>
    <xf numFmtId="3" fontId="13" fillId="9" borderId="15" xfId="0" applyNumberFormat="1" applyFont="1" applyFill="1" applyBorder="1" applyAlignment="1">
      <alignment horizontal="center" vertical="center"/>
    </xf>
    <xf numFmtId="4" fontId="13" fillId="9" borderId="15" xfId="0" applyNumberFormat="1" applyFont="1" applyFill="1" applyBorder="1" applyAlignment="1">
      <alignment horizontal="center" vertical="center"/>
    </xf>
    <xf numFmtId="171" fontId="13" fillId="9" borderId="15" xfId="0" applyNumberFormat="1" applyFont="1" applyFill="1" applyBorder="1" applyAlignment="1">
      <alignment horizontal="center" vertical="center"/>
    </xf>
    <xf numFmtId="164" fontId="13" fillId="9" borderId="15" xfId="0" applyNumberFormat="1" applyFont="1" applyFill="1" applyBorder="1" applyAlignment="1">
      <alignment horizontal="center" vertical="center"/>
    </xf>
    <xf numFmtId="4" fontId="12" fillId="3" borderId="15" xfId="0" applyNumberFormat="1" applyFont="1" applyFill="1" applyBorder="1" applyAlignment="1">
      <alignment horizontal="center" vertical="center"/>
    </xf>
    <xf numFmtId="164" fontId="12" fillId="3" borderId="15" xfId="0" applyNumberFormat="1" applyFont="1" applyFill="1" applyBorder="1" applyAlignment="1">
      <alignment horizontal="center" vertical="center"/>
    </xf>
    <xf numFmtId="0" fontId="1" fillId="2" borderId="1" xfId="0" applyFont="1" applyFill="1" applyBorder="1" applyAlignment="1">
      <alignment horizontal="center"/>
    </xf>
    <xf numFmtId="0" fontId="2" fillId="0" borderId="2" xfId="0" applyFont="1" applyBorder="1"/>
    <xf numFmtId="0" fontId="2" fillId="0" borderId="3" xfId="0" applyFont="1" applyBorder="1"/>
    <xf numFmtId="0" fontId="3" fillId="3" borderId="1" xfId="0" applyFont="1" applyFill="1" applyBorder="1" applyAlignment="1">
      <alignment horizontal="center"/>
    </xf>
    <xf numFmtId="0" fontId="0" fillId="0" borderId="4" xfId="0" applyFont="1" applyBorder="1" applyAlignment="1">
      <alignment vertical="center" wrapText="1"/>
    </xf>
    <xf numFmtId="0" fontId="2" fillId="0" borderId="5" xfId="0" applyFont="1" applyBorder="1"/>
    <xf numFmtId="0" fontId="2" fillId="0" borderId="6" xfId="0" applyFont="1" applyBorder="1"/>
    <xf numFmtId="0" fontId="0" fillId="0" borderId="9" xfId="0" applyFont="1" applyBorder="1" applyAlignment="1">
      <alignment horizontal="center" vertical="center"/>
    </xf>
    <xf numFmtId="0" fontId="2" fillId="0" borderId="10" xfId="0" applyFont="1" applyBorder="1"/>
    <xf numFmtId="0" fontId="2" fillId="0" borderId="11" xfId="0" applyFont="1" applyBorder="1"/>
    <xf numFmtId="0" fontId="4" fillId="0" borderId="0" xfId="0" applyFont="1" applyAlignment="1">
      <alignment horizontal="center" wrapText="1"/>
    </xf>
    <xf numFmtId="0" fontId="0" fillId="0" borderId="0" xfId="0" applyFont="1" applyAlignment="1"/>
    <xf numFmtId="0" fontId="0" fillId="0" borderId="7" xfId="0" applyFont="1" applyBorder="1" applyAlignment="1">
      <alignment horizontal="center"/>
    </xf>
    <xf numFmtId="0" fontId="2" fillId="0" borderId="8" xfId="0" applyFont="1" applyBorder="1"/>
    <xf numFmtId="0" fontId="2" fillId="0" borderId="7" xfId="0" applyFont="1" applyBorder="1"/>
    <xf numFmtId="0" fontId="3" fillId="3" borderId="12" xfId="0" applyFont="1" applyFill="1" applyBorder="1" applyAlignment="1">
      <alignment horizontal="center"/>
    </xf>
    <xf numFmtId="0" fontId="2" fillId="0" borderId="13" xfId="0" applyFont="1" applyBorder="1"/>
    <xf numFmtId="0" fontId="2" fillId="0" borderId="14" xfId="0" applyFont="1" applyBorder="1"/>
    <xf numFmtId="0" fontId="0" fillId="0" borderId="1" xfId="0" applyFont="1" applyBorder="1" applyAlignment="1">
      <alignment horizontal="center" vertical="center" wrapText="1"/>
    </xf>
    <xf numFmtId="0" fontId="0" fillId="0" borderId="1" xfId="0" applyFont="1" applyBorder="1" applyAlignment="1">
      <alignment horizontal="center" vertical="center"/>
    </xf>
    <xf numFmtId="0" fontId="3" fillId="4" borderId="1" xfId="0" applyFont="1" applyFill="1" applyBorder="1" applyAlignment="1">
      <alignment horizontal="center" vertical="center" wrapText="1"/>
    </xf>
    <xf numFmtId="0" fontId="1" fillId="2" borderId="1" xfId="0" applyFont="1" applyFill="1" applyBorder="1" applyAlignment="1">
      <alignment horizontal="center" vertical="center"/>
    </xf>
    <xf numFmtId="0" fontId="3" fillId="0" borderId="1" xfId="0" applyFont="1" applyBorder="1" applyAlignment="1">
      <alignment horizontal="center" vertical="center"/>
    </xf>
    <xf numFmtId="0" fontId="0" fillId="0" borderId="1" xfId="0" applyFont="1" applyBorder="1" applyAlignment="1">
      <alignment horizontal="left" vertical="center" wrapText="1"/>
    </xf>
    <xf numFmtId="0" fontId="3" fillId="3" borderId="1" xfId="0" applyFont="1" applyFill="1" applyBorder="1" applyAlignment="1">
      <alignment horizontal="center" vertical="center"/>
    </xf>
    <xf numFmtId="0" fontId="3" fillId="0" borderId="1" xfId="0" applyFont="1" applyBorder="1" applyAlignment="1">
      <alignment horizontal="center"/>
    </xf>
    <xf numFmtId="0" fontId="3" fillId="0" borderId="1" xfId="0" applyFont="1" applyBorder="1" applyAlignment="1">
      <alignment horizontal="center" vertical="center" wrapText="1"/>
    </xf>
    <xf numFmtId="0" fontId="0" fillId="0" borderId="1" xfId="0" applyFont="1" applyBorder="1" applyAlignment="1">
      <alignment horizontal="center"/>
    </xf>
    <xf numFmtId="0" fontId="0" fillId="0" borderId="1" xfId="0" applyFont="1" applyBorder="1" applyAlignment="1">
      <alignment wrapText="1"/>
    </xf>
    <xf numFmtId="10" fontId="0" fillId="0" borderId="16" xfId="0" applyNumberFormat="1" applyFont="1" applyBorder="1" applyAlignment="1">
      <alignment horizontal="center" vertical="center" wrapText="1"/>
    </xf>
    <xf numFmtId="0" fontId="2" fillId="0" borderId="18" xfId="0" applyFont="1" applyBorder="1"/>
    <xf numFmtId="166" fontId="0" fillId="0" borderId="16" xfId="0" applyNumberFormat="1" applyFont="1" applyBorder="1" applyAlignment="1">
      <alignment horizontal="center" vertical="center" wrapText="1"/>
    </xf>
    <xf numFmtId="0" fontId="0" fillId="0" borderId="16" xfId="0" applyFont="1" applyBorder="1" applyAlignment="1">
      <alignment horizontal="center" vertical="center" wrapText="1"/>
    </xf>
    <xf numFmtId="0" fontId="2" fillId="0" borderId="17" xfId="0" applyFont="1" applyBorder="1"/>
    <xf numFmtId="0" fontId="3" fillId="3" borderId="1" xfId="0" applyFont="1" applyFill="1" applyBorder="1" applyAlignment="1">
      <alignment horizontal="center" vertical="center" wrapText="1"/>
    </xf>
    <xf numFmtId="0" fontId="0" fillId="0" borderId="1" xfId="0" applyFont="1" applyBorder="1" applyAlignment="1">
      <alignment horizontal="center" wrapText="1"/>
    </xf>
    <xf numFmtId="0" fontId="0" fillId="0" borderId="1" xfId="0" applyFont="1" applyBorder="1" applyAlignment="1">
      <alignment horizontal="left" wrapText="1"/>
    </xf>
    <xf numFmtId="0" fontId="3" fillId="0" borderId="1" xfId="0" applyFont="1" applyBorder="1" applyAlignment="1">
      <alignment horizontal="left" vertical="center" wrapText="1"/>
    </xf>
    <xf numFmtId="0" fontId="6" fillId="6" borderId="1" xfId="0" applyFont="1" applyFill="1" applyBorder="1" applyAlignment="1">
      <alignment horizontal="center" vertical="center"/>
    </xf>
    <xf numFmtId="0" fontId="6" fillId="3" borderId="25" xfId="0" applyFont="1" applyFill="1" applyBorder="1" applyAlignment="1">
      <alignment horizontal="center" vertical="center" wrapText="1"/>
    </xf>
    <xf numFmtId="0" fontId="2" fillId="0" borderId="26" xfId="0" applyFont="1" applyBorder="1"/>
    <xf numFmtId="0" fontId="6" fillId="3" borderId="1" xfId="0" applyFont="1" applyFill="1" applyBorder="1" applyAlignment="1">
      <alignment horizontal="right" vertical="center" wrapText="1"/>
    </xf>
    <xf numFmtId="0" fontId="4" fillId="6" borderId="1" xfId="0" applyFont="1" applyFill="1" applyBorder="1" applyAlignment="1">
      <alignment horizontal="right"/>
    </xf>
    <xf numFmtId="0" fontId="7" fillId="2" borderId="1" xfId="0" applyFont="1" applyFill="1" applyBorder="1" applyAlignment="1">
      <alignment horizontal="center" vertical="center" wrapText="1"/>
    </xf>
    <xf numFmtId="0" fontId="6" fillId="3" borderId="20" xfId="0" applyFont="1" applyFill="1" applyBorder="1" applyAlignment="1">
      <alignment horizontal="center" vertical="center" wrapText="1"/>
    </xf>
    <xf numFmtId="0" fontId="2" fillId="0" borderId="21" xfId="0" applyFont="1" applyBorder="1"/>
    <xf numFmtId="0" fontId="2" fillId="0" borderId="22" xfId="0" applyFont="1" applyBorder="1"/>
    <xf numFmtId="0" fontId="8" fillId="0" borderId="23" xfId="0" applyFont="1" applyBorder="1" applyAlignment="1">
      <alignment vertical="center"/>
    </xf>
    <xf numFmtId="0" fontId="2" fillId="0" borderId="23" xfId="0" applyFont="1" applyBorder="1"/>
    <xf numFmtId="0" fontId="2" fillId="0" borderId="24" xfId="0" applyFont="1" applyBorder="1"/>
    <xf numFmtId="0" fontId="7" fillId="8" borderId="1" xfId="0" applyFont="1" applyFill="1" applyBorder="1" applyAlignment="1">
      <alignment horizontal="center" vertical="center" wrapText="1"/>
    </xf>
    <xf numFmtId="0" fontId="6" fillId="6" borderId="16" xfId="0" applyFont="1" applyFill="1" applyBorder="1" applyAlignment="1">
      <alignment horizontal="center" vertical="center" wrapText="1"/>
    </xf>
    <xf numFmtId="0" fontId="6" fillId="6" borderId="1" xfId="0" applyFont="1" applyFill="1" applyBorder="1" applyAlignment="1">
      <alignment horizontal="center" vertical="center" wrapText="1"/>
    </xf>
    <xf numFmtId="0" fontId="7" fillId="8" borderId="1" xfId="0" applyFont="1" applyFill="1" applyBorder="1" applyAlignment="1">
      <alignment horizontal="right" wrapText="1"/>
    </xf>
    <xf numFmtId="0" fontId="6" fillId="3" borderId="1" xfId="0" applyFont="1" applyFill="1" applyBorder="1" applyAlignment="1">
      <alignment horizontal="center" vertical="center" wrapText="1"/>
    </xf>
    <xf numFmtId="4" fontId="12" fillId="3" borderId="16" xfId="0" applyNumberFormat="1" applyFont="1" applyFill="1" applyBorder="1" applyAlignment="1">
      <alignment horizontal="center" vertical="center" wrapText="1"/>
    </xf>
    <xf numFmtId="4" fontId="12" fillId="3" borderId="4" xfId="0" applyNumberFormat="1" applyFont="1" applyFill="1" applyBorder="1" applyAlignment="1">
      <alignment horizontal="center" vertical="center" wrapText="1"/>
    </xf>
    <xf numFmtId="0" fontId="2" fillId="0" borderId="9" xfId="0" applyFont="1" applyBorder="1"/>
    <xf numFmtId="4" fontId="13" fillId="0" borderId="8" xfId="0" applyNumberFormat="1" applyFont="1" applyBorder="1" applyAlignment="1">
      <alignment horizontal="center" vertical="center"/>
    </xf>
    <xf numFmtId="4" fontId="13" fillId="9" borderId="16" xfId="0" applyNumberFormat="1" applyFont="1" applyFill="1" applyBorder="1" applyAlignment="1">
      <alignment horizontal="center" vertical="center"/>
    </xf>
    <xf numFmtId="4" fontId="12" fillId="3" borderId="1" xfId="0" applyNumberFormat="1" applyFont="1" applyFill="1" applyBorder="1" applyAlignment="1">
      <alignment horizontal="right" vertical="center"/>
    </xf>
    <xf numFmtId="4" fontId="13" fillId="0" borderId="0" xfId="0" applyNumberFormat="1" applyFont="1" applyAlignment="1">
      <alignment horizontal="left" vertical="center"/>
    </xf>
    <xf numFmtId="4" fontId="12" fillId="3" borderId="1" xfId="0" applyNumberFormat="1" applyFont="1" applyFill="1" applyBorder="1" applyAlignment="1">
      <alignment horizontal="center" vertical="center" wrapText="1"/>
    </xf>
    <xf numFmtId="4" fontId="12" fillId="3" borderId="1" xfId="0" applyNumberFormat="1" applyFont="1" applyFill="1" applyBorder="1" applyAlignment="1">
      <alignment horizontal="center" vertical="center"/>
    </xf>
    <xf numFmtId="0" fontId="11" fillId="2" borderId="4" xfId="0" applyFont="1" applyFill="1" applyBorder="1" applyAlignment="1">
      <alignment horizontal="center" vertical="center"/>
    </xf>
    <xf numFmtId="4" fontId="12" fillId="3" borderId="1" xfId="0" applyNumberFormat="1" applyFont="1" applyFill="1" applyBorder="1" applyAlignment="1">
      <alignment horizontal="righ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customschemas.google.com/relationships/workbookmetadata" Target="metadata"/><Relationship Id="rId5" Type="http://schemas.openxmlformats.org/officeDocument/2006/relationships/worksheet" Target="worksheets/sheet5.xml"/><Relationship Id="rId15" Type="http://schemas.openxmlformats.org/officeDocument/2006/relationships/calcChain" Target="calcChain.xml"/><Relationship Id="rId4" Type="http://schemas.openxmlformats.org/officeDocument/2006/relationships/worksheet" Target="worksheets/sheet4.xml"/><Relationship Id="rId1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6.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E7E6E6"/>
    <pageSetUpPr fitToPage="1"/>
  </sheetPr>
  <dimension ref="A1:D153"/>
  <sheetViews>
    <sheetView showGridLines="0" tabSelected="1" workbookViewId="0">
      <selection sqref="A1:D1"/>
    </sheetView>
  </sheetViews>
  <sheetFormatPr defaultColWidth="14.42578125" defaultRowHeight="15" customHeight="1" x14ac:dyDescent="0.2"/>
  <cols>
    <col min="1" max="1" width="14.85546875" customWidth="1"/>
    <col min="2" max="2" width="61.28515625" customWidth="1"/>
    <col min="3" max="3" width="14.5703125" customWidth="1"/>
    <col min="4" max="4" width="29.7109375" customWidth="1"/>
  </cols>
  <sheetData>
    <row r="1" spans="1:4" ht="18" x14ac:dyDescent="0.25">
      <c r="A1" s="81" t="s">
        <v>0</v>
      </c>
      <c r="B1" s="82"/>
      <c r="C1" s="82"/>
      <c r="D1" s="83"/>
    </row>
    <row r="2" spans="1:4" ht="12.75" customHeight="1" x14ac:dyDescent="0.2">
      <c r="A2" s="84" t="s">
        <v>1</v>
      </c>
      <c r="B2" s="82"/>
      <c r="C2" s="82"/>
      <c r="D2" s="83"/>
    </row>
    <row r="3" spans="1:4" ht="12.75" customHeight="1" x14ac:dyDescent="0.2">
      <c r="A3" s="85"/>
      <c r="B3" s="86"/>
      <c r="C3" s="86"/>
      <c r="D3" s="87"/>
    </row>
    <row r="4" spans="1:4" ht="12.75" customHeight="1" x14ac:dyDescent="0.2">
      <c r="A4" s="91" t="s">
        <v>2</v>
      </c>
      <c r="B4" s="92"/>
      <c r="C4" s="92"/>
      <c r="D4" s="92"/>
    </row>
    <row r="5" spans="1:4" ht="12.75" customHeight="1" x14ac:dyDescent="0.2">
      <c r="A5" s="91" t="s">
        <v>3</v>
      </c>
      <c r="B5" s="92"/>
      <c r="C5" s="92"/>
      <c r="D5" s="92"/>
    </row>
    <row r="6" spans="1:4" ht="12.75" customHeight="1" x14ac:dyDescent="0.2">
      <c r="A6" s="93"/>
      <c r="B6" s="92"/>
      <c r="C6" s="92"/>
      <c r="D6" s="94"/>
    </row>
    <row r="7" spans="1:4" ht="12.75" customHeight="1" x14ac:dyDescent="0.2">
      <c r="A7" s="95"/>
      <c r="B7" s="92"/>
      <c r="C7" s="92"/>
      <c r="D7" s="94"/>
    </row>
    <row r="8" spans="1:4" ht="12.75" customHeight="1" x14ac:dyDescent="0.2">
      <c r="A8" s="88"/>
      <c r="B8" s="89"/>
      <c r="C8" s="89"/>
      <c r="D8" s="90"/>
    </row>
    <row r="9" spans="1:4" ht="13.5" customHeight="1" x14ac:dyDescent="0.2">
      <c r="A9" s="96" t="s">
        <v>4</v>
      </c>
      <c r="B9" s="97"/>
      <c r="C9" s="97"/>
      <c r="D9" s="98"/>
    </row>
    <row r="10" spans="1:4" ht="12.75" customHeight="1" x14ac:dyDescent="0.2">
      <c r="A10" s="1" t="s">
        <v>5</v>
      </c>
      <c r="B10" s="99" t="s">
        <v>6</v>
      </c>
      <c r="C10" s="83"/>
      <c r="D10" s="1"/>
    </row>
    <row r="11" spans="1:4" ht="12.75" customHeight="1" x14ac:dyDescent="0.2">
      <c r="A11" s="1" t="s">
        <v>7</v>
      </c>
      <c r="B11" s="99" t="s">
        <v>8</v>
      </c>
      <c r="C11" s="83"/>
      <c r="D11" s="2" t="s">
        <v>9</v>
      </c>
    </row>
    <row r="12" spans="1:4" ht="12.75" customHeight="1" x14ac:dyDescent="0.2">
      <c r="A12" s="1" t="s">
        <v>10</v>
      </c>
      <c r="B12" s="99" t="s">
        <v>11</v>
      </c>
      <c r="C12" s="83"/>
      <c r="D12" s="1" t="s">
        <v>12</v>
      </c>
    </row>
    <row r="13" spans="1:4" ht="12.75" customHeight="1" x14ac:dyDescent="0.2">
      <c r="A13" s="1" t="s">
        <v>13</v>
      </c>
      <c r="B13" s="99" t="s">
        <v>14</v>
      </c>
      <c r="C13" s="83"/>
      <c r="D13" s="1">
        <v>12</v>
      </c>
    </row>
    <row r="14" spans="1:4" ht="12.75" customHeight="1" x14ac:dyDescent="0.2">
      <c r="A14" s="100"/>
      <c r="B14" s="82"/>
      <c r="C14" s="82"/>
      <c r="D14" s="83"/>
    </row>
    <row r="15" spans="1:4" ht="12.75" customHeight="1" x14ac:dyDescent="0.2">
      <c r="A15" s="96" t="s">
        <v>15</v>
      </c>
      <c r="B15" s="97"/>
      <c r="C15" s="97"/>
      <c r="D15" s="98"/>
    </row>
    <row r="16" spans="1:4" ht="12.75" customHeight="1" x14ac:dyDescent="0.2">
      <c r="A16" s="101" t="s">
        <v>16</v>
      </c>
      <c r="B16" s="82"/>
      <c r="C16" s="82"/>
      <c r="D16" s="83"/>
    </row>
    <row r="17" spans="1:4" ht="12.75" customHeight="1" x14ac:dyDescent="0.2">
      <c r="A17" s="99" t="s">
        <v>17</v>
      </c>
      <c r="B17" s="82"/>
      <c r="C17" s="82"/>
      <c r="D17" s="83"/>
    </row>
    <row r="18" spans="1:4" ht="12.75" customHeight="1" x14ac:dyDescent="0.2">
      <c r="A18" s="100"/>
      <c r="B18" s="82"/>
      <c r="C18" s="82"/>
      <c r="D18" s="83"/>
    </row>
    <row r="19" spans="1:4" ht="20.25" customHeight="1" x14ac:dyDescent="0.2">
      <c r="A19" s="102" t="s">
        <v>18</v>
      </c>
      <c r="B19" s="82"/>
      <c r="C19" s="82"/>
      <c r="D19" s="83"/>
    </row>
    <row r="20" spans="1:4" ht="12.75" customHeight="1" x14ac:dyDescent="0.2">
      <c r="A20" s="103" t="s">
        <v>19</v>
      </c>
      <c r="B20" s="82"/>
      <c r="C20" s="82"/>
      <c r="D20" s="83"/>
    </row>
    <row r="21" spans="1:4" ht="15.75" customHeight="1" x14ac:dyDescent="0.2">
      <c r="A21" s="101" t="s">
        <v>20</v>
      </c>
      <c r="B21" s="82"/>
      <c r="C21" s="82"/>
      <c r="D21" s="83"/>
    </row>
    <row r="22" spans="1:4" ht="12.75" x14ac:dyDescent="0.2">
      <c r="A22" s="1">
        <v>1</v>
      </c>
      <c r="B22" s="104" t="s">
        <v>21</v>
      </c>
      <c r="C22" s="83"/>
      <c r="D22" s="1" t="str">
        <f>A17</f>
        <v>Limpeza e Conservação</v>
      </c>
    </row>
    <row r="23" spans="1:4" ht="12.75" customHeight="1" x14ac:dyDescent="0.2">
      <c r="A23" s="1">
        <v>2</v>
      </c>
      <c r="B23" s="104" t="s">
        <v>22</v>
      </c>
      <c r="C23" s="83"/>
      <c r="D23" s="1" t="s">
        <v>23</v>
      </c>
    </row>
    <row r="24" spans="1:4" ht="12.75" customHeight="1" x14ac:dyDescent="0.2">
      <c r="A24" s="1">
        <v>3</v>
      </c>
      <c r="B24" s="104" t="s">
        <v>24</v>
      </c>
      <c r="C24" s="83"/>
      <c r="D24" s="3">
        <v>1198.0899999999999</v>
      </c>
    </row>
    <row r="25" spans="1:4" ht="27.75" customHeight="1" x14ac:dyDescent="0.2">
      <c r="A25" s="1">
        <v>4</v>
      </c>
      <c r="B25" s="104" t="s">
        <v>25</v>
      </c>
      <c r="C25" s="83"/>
      <c r="D25" s="1" t="str">
        <f>A2</f>
        <v>SERVENTE DE LIMPEZA  (44 HORAS de segunda a sábado)</v>
      </c>
    </row>
    <row r="26" spans="1:4" ht="12.75" customHeight="1" x14ac:dyDescent="0.2">
      <c r="A26" s="1">
        <v>5</v>
      </c>
      <c r="B26" s="104" t="s">
        <v>26</v>
      </c>
      <c r="C26" s="83"/>
      <c r="D26" s="4">
        <v>44197</v>
      </c>
    </row>
    <row r="27" spans="1:4" ht="12.75" customHeight="1" x14ac:dyDescent="0.2">
      <c r="A27" s="100"/>
      <c r="B27" s="82"/>
      <c r="C27" s="82"/>
      <c r="D27" s="83"/>
    </row>
    <row r="28" spans="1:4" ht="12.75" customHeight="1" x14ac:dyDescent="0.2">
      <c r="A28" s="105" t="s">
        <v>27</v>
      </c>
      <c r="B28" s="82"/>
      <c r="C28" s="82"/>
      <c r="D28" s="83"/>
    </row>
    <row r="29" spans="1:4" ht="12.75" customHeight="1" x14ac:dyDescent="0.2">
      <c r="A29" s="5">
        <v>1</v>
      </c>
      <c r="B29" s="101" t="s">
        <v>28</v>
      </c>
      <c r="C29" s="83"/>
      <c r="D29" s="5" t="s">
        <v>29</v>
      </c>
    </row>
    <row r="30" spans="1:4" ht="12.75" customHeight="1" x14ac:dyDescent="0.2">
      <c r="A30" s="1" t="s">
        <v>5</v>
      </c>
      <c r="B30" s="104" t="s">
        <v>30</v>
      </c>
      <c r="C30" s="83"/>
      <c r="D30" s="6">
        <v>1198.0899999999999</v>
      </c>
    </row>
    <row r="31" spans="1:4" ht="12.75" customHeight="1" x14ac:dyDescent="0.2">
      <c r="A31" s="1" t="s">
        <v>7</v>
      </c>
      <c r="B31" s="104" t="s">
        <v>31</v>
      </c>
      <c r="C31" s="83"/>
      <c r="D31" s="7">
        <v>0</v>
      </c>
    </row>
    <row r="32" spans="1:4" ht="18" customHeight="1" x14ac:dyDescent="0.2">
      <c r="A32" s="1" t="s">
        <v>10</v>
      </c>
      <c r="B32" s="104" t="s">
        <v>32</v>
      </c>
      <c r="C32" s="83"/>
      <c r="D32" s="7">
        <v>0</v>
      </c>
    </row>
    <row r="33" spans="1:4" ht="36.75" customHeight="1" x14ac:dyDescent="0.2">
      <c r="A33" s="1" t="s">
        <v>13</v>
      </c>
      <c r="B33" s="104" t="s">
        <v>33</v>
      </c>
      <c r="C33" s="83"/>
      <c r="D33" s="7">
        <v>0</v>
      </c>
    </row>
    <row r="34" spans="1:4" ht="24.75" customHeight="1" x14ac:dyDescent="0.2">
      <c r="A34" s="1" t="s">
        <v>34</v>
      </c>
      <c r="B34" s="104" t="s">
        <v>35</v>
      </c>
      <c r="C34" s="83"/>
      <c r="D34" s="7">
        <v>0</v>
      </c>
    </row>
    <row r="35" spans="1:4" ht="32.25" customHeight="1" x14ac:dyDescent="0.2">
      <c r="A35" s="1" t="s">
        <v>36</v>
      </c>
      <c r="B35" s="104" t="s">
        <v>37</v>
      </c>
      <c r="C35" s="83"/>
      <c r="D35" s="7">
        <v>0</v>
      </c>
    </row>
    <row r="36" spans="1:4" ht="26.25" customHeight="1" x14ac:dyDescent="0.2">
      <c r="A36" s="1" t="s">
        <v>38</v>
      </c>
      <c r="B36" s="104" t="s">
        <v>39</v>
      </c>
      <c r="C36" s="83"/>
      <c r="D36" s="7">
        <v>0</v>
      </c>
    </row>
    <row r="37" spans="1:4" ht="12.75" customHeight="1" x14ac:dyDescent="0.2">
      <c r="A37" s="1" t="s">
        <v>40</v>
      </c>
      <c r="B37" s="104" t="s">
        <v>41</v>
      </c>
      <c r="C37" s="83"/>
      <c r="D37" s="6">
        <v>46.16</v>
      </c>
    </row>
    <row r="38" spans="1:4" ht="12.75" customHeight="1" x14ac:dyDescent="0.2">
      <c r="A38" s="1" t="s">
        <v>42</v>
      </c>
      <c r="B38" s="104" t="s">
        <v>43</v>
      </c>
      <c r="C38" s="83"/>
      <c r="D38" s="7">
        <v>0</v>
      </c>
    </row>
    <row r="39" spans="1:4" ht="12.75" customHeight="1" x14ac:dyDescent="0.2">
      <c r="A39" s="8"/>
      <c r="B39" s="101" t="s">
        <v>44</v>
      </c>
      <c r="C39" s="83"/>
      <c r="D39" s="9">
        <f>SUM(D30:D38)</f>
        <v>1244.25</v>
      </c>
    </row>
    <row r="40" spans="1:4" ht="12.75" customHeight="1" x14ac:dyDescent="0.2">
      <c r="A40" s="99" t="s">
        <v>45</v>
      </c>
      <c r="B40" s="82"/>
      <c r="C40" s="82"/>
      <c r="D40" s="83"/>
    </row>
    <row r="41" spans="1:4" ht="12.75" customHeight="1" x14ac:dyDescent="0.2">
      <c r="A41" s="100"/>
      <c r="B41" s="82"/>
      <c r="C41" s="82"/>
      <c r="D41" s="83"/>
    </row>
    <row r="42" spans="1:4" ht="12.75" customHeight="1" x14ac:dyDescent="0.2">
      <c r="A42" s="105" t="s">
        <v>46</v>
      </c>
      <c r="B42" s="82"/>
      <c r="C42" s="82"/>
      <c r="D42" s="83"/>
    </row>
    <row r="43" spans="1:4" ht="12.75" customHeight="1" x14ac:dyDescent="0.2">
      <c r="A43" s="106" t="s">
        <v>47</v>
      </c>
      <c r="B43" s="82"/>
      <c r="C43" s="82"/>
      <c r="D43" s="83"/>
    </row>
    <row r="44" spans="1:4" ht="12.75" customHeight="1" x14ac:dyDescent="0.2">
      <c r="A44" s="5" t="s">
        <v>48</v>
      </c>
      <c r="B44" s="101" t="s">
        <v>49</v>
      </c>
      <c r="C44" s="83"/>
      <c r="D44" s="5" t="s">
        <v>29</v>
      </c>
    </row>
    <row r="45" spans="1:4" ht="12.75" customHeight="1" x14ac:dyDescent="0.2">
      <c r="A45" s="1" t="s">
        <v>5</v>
      </c>
      <c r="B45" s="10" t="s">
        <v>50</v>
      </c>
      <c r="C45" s="11" t="s">
        <v>51</v>
      </c>
      <c r="D45" s="7">
        <f>D39*0.0833</f>
        <v>103.64602499999999</v>
      </c>
    </row>
    <row r="46" spans="1:4" ht="12.75" customHeight="1" x14ac:dyDescent="0.2">
      <c r="A46" s="1" t="s">
        <v>7</v>
      </c>
      <c r="B46" s="10" t="s">
        <v>52</v>
      </c>
      <c r="C46" s="11" t="s">
        <v>51</v>
      </c>
      <c r="D46" s="7">
        <f>D39*0.0278</f>
        <v>34.590150000000001</v>
      </c>
    </row>
    <row r="47" spans="1:4" ht="12.75" customHeight="1" x14ac:dyDescent="0.2">
      <c r="A47" s="107" t="s">
        <v>53</v>
      </c>
      <c r="B47" s="82"/>
      <c r="C47" s="83"/>
      <c r="D47" s="12">
        <f>SUM(D45:D46)</f>
        <v>138.236175</v>
      </c>
    </row>
    <row r="48" spans="1:4" ht="12.75" customHeight="1" x14ac:dyDescent="0.2">
      <c r="A48" s="1" t="s">
        <v>10</v>
      </c>
      <c r="B48" s="10" t="s">
        <v>54</v>
      </c>
      <c r="C48" s="11" t="s">
        <v>51</v>
      </c>
      <c r="D48" s="7">
        <f>(D45+D46)*C61</f>
        <v>55.017997650000012</v>
      </c>
    </row>
    <row r="49" spans="1:4" ht="12.75" customHeight="1" x14ac:dyDescent="0.2">
      <c r="A49" s="101" t="s">
        <v>55</v>
      </c>
      <c r="B49" s="82"/>
      <c r="C49" s="83"/>
      <c r="D49" s="9">
        <f>D47+D48</f>
        <v>193.25417265000002</v>
      </c>
    </row>
    <row r="50" spans="1:4" ht="55.5" customHeight="1" x14ac:dyDescent="0.2">
      <c r="A50" s="104" t="s">
        <v>56</v>
      </c>
      <c r="B50" s="82"/>
      <c r="C50" s="82"/>
      <c r="D50" s="83"/>
    </row>
    <row r="51" spans="1:4" ht="12.75" customHeight="1" x14ac:dyDescent="0.2">
      <c r="A51" s="103" t="s">
        <v>57</v>
      </c>
      <c r="B51" s="82"/>
      <c r="C51" s="82"/>
      <c r="D51" s="83"/>
    </row>
    <row r="52" spans="1:4" ht="12.75" customHeight="1" x14ac:dyDescent="0.2">
      <c r="A52" s="5" t="s">
        <v>58</v>
      </c>
      <c r="B52" s="13" t="s">
        <v>59</v>
      </c>
      <c r="C52" s="5" t="s">
        <v>60</v>
      </c>
      <c r="D52" s="5" t="s">
        <v>29</v>
      </c>
    </row>
    <row r="53" spans="1:4" ht="12.75" customHeight="1" x14ac:dyDescent="0.2">
      <c r="A53" s="1" t="s">
        <v>5</v>
      </c>
      <c r="B53" s="10" t="s">
        <v>61</v>
      </c>
      <c r="C53" s="14">
        <v>0.2</v>
      </c>
      <c r="D53" s="7">
        <f t="shared" ref="D53:D60" si="0">C53*$D$39</f>
        <v>248.85000000000002</v>
      </c>
    </row>
    <row r="54" spans="1:4" ht="12.75" customHeight="1" x14ac:dyDescent="0.2">
      <c r="A54" s="1" t="s">
        <v>7</v>
      </c>
      <c r="B54" s="10" t="s">
        <v>62</v>
      </c>
      <c r="C54" s="14">
        <v>2.5000000000000001E-2</v>
      </c>
      <c r="D54" s="7">
        <f t="shared" si="0"/>
        <v>31.106250000000003</v>
      </c>
    </row>
    <row r="55" spans="1:4" ht="12.75" customHeight="1" x14ac:dyDescent="0.2">
      <c r="A55" s="1" t="s">
        <v>10</v>
      </c>
      <c r="B55" s="10" t="s">
        <v>63</v>
      </c>
      <c r="C55" s="14">
        <v>0.06</v>
      </c>
      <c r="D55" s="7">
        <f t="shared" si="0"/>
        <v>74.655000000000001</v>
      </c>
    </row>
    <row r="56" spans="1:4" ht="12.75" customHeight="1" x14ac:dyDescent="0.2">
      <c r="A56" s="1" t="s">
        <v>13</v>
      </c>
      <c r="B56" s="10" t="s">
        <v>64</v>
      </c>
      <c r="C56" s="14">
        <v>1.4999999999999999E-2</v>
      </c>
      <c r="D56" s="7">
        <f t="shared" si="0"/>
        <v>18.66375</v>
      </c>
    </row>
    <row r="57" spans="1:4" ht="12.75" customHeight="1" x14ac:dyDescent="0.2">
      <c r="A57" s="1" t="s">
        <v>34</v>
      </c>
      <c r="B57" s="10" t="s">
        <v>65</v>
      </c>
      <c r="C57" s="14">
        <v>0.01</v>
      </c>
      <c r="D57" s="7">
        <f t="shared" si="0"/>
        <v>12.442500000000001</v>
      </c>
    </row>
    <row r="58" spans="1:4" ht="12.75" customHeight="1" x14ac:dyDescent="0.2">
      <c r="A58" s="1" t="s">
        <v>36</v>
      </c>
      <c r="B58" s="10" t="s">
        <v>66</v>
      </c>
      <c r="C58" s="14">
        <v>6.0000000000000001E-3</v>
      </c>
      <c r="D58" s="7">
        <f t="shared" si="0"/>
        <v>7.4655000000000005</v>
      </c>
    </row>
    <row r="59" spans="1:4" ht="12.75" customHeight="1" x14ac:dyDescent="0.2">
      <c r="A59" s="1" t="s">
        <v>38</v>
      </c>
      <c r="B59" s="10" t="s">
        <v>67</v>
      </c>
      <c r="C59" s="14">
        <v>2E-3</v>
      </c>
      <c r="D59" s="7">
        <f t="shared" si="0"/>
        <v>2.4885000000000002</v>
      </c>
    </row>
    <row r="60" spans="1:4" ht="12.75" customHeight="1" x14ac:dyDescent="0.2">
      <c r="A60" s="1" t="s">
        <v>40</v>
      </c>
      <c r="B60" s="10" t="s">
        <v>68</v>
      </c>
      <c r="C60" s="14">
        <v>0.08</v>
      </c>
      <c r="D60" s="7">
        <f t="shared" si="0"/>
        <v>99.54</v>
      </c>
    </row>
    <row r="61" spans="1:4" ht="12.75" customHeight="1" x14ac:dyDescent="0.2">
      <c r="A61" s="8"/>
      <c r="B61" s="13" t="s">
        <v>69</v>
      </c>
      <c r="C61" s="15">
        <f t="shared" ref="C61:D61" si="1">SUM(C53:C60)</f>
        <v>0.39800000000000008</v>
      </c>
      <c r="D61" s="9">
        <f t="shared" si="1"/>
        <v>495.21150000000006</v>
      </c>
    </row>
    <row r="62" spans="1:4" ht="12.75" customHeight="1" x14ac:dyDescent="0.2">
      <c r="A62" s="108"/>
      <c r="B62" s="82"/>
      <c r="C62" s="82"/>
      <c r="D62" s="83"/>
    </row>
    <row r="63" spans="1:4" ht="12.75" customHeight="1" x14ac:dyDescent="0.2">
      <c r="A63" s="106" t="s">
        <v>70</v>
      </c>
      <c r="B63" s="82"/>
      <c r="C63" s="82"/>
      <c r="D63" s="83"/>
    </row>
    <row r="64" spans="1:4" ht="12.75" customHeight="1" x14ac:dyDescent="0.2">
      <c r="A64" s="5" t="s">
        <v>71</v>
      </c>
      <c r="B64" s="101" t="s">
        <v>72</v>
      </c>
      <c r="C64" s="83"/>
      <c r="D64" s="5" t="s">
        <v>29</v>
      </c>
    </row>
    <row r="65" spans="1:4" ht="12.75" customHeight="1" x14ac:dyDescent="0.2">
      <c r="A65" s="1" t="s">
        <v>5</v>
      </c>
      <c r="B65" s="104" t="s">
        <v>73</v>
      </c>
      <c r="C65" s="83"/>
      <c r="D65" s="16">
        <v>60</v>
      </c>
    </row>
    <row r="66" spans="1:4" ht="16.5" customHeight="1" x14ac:dyDescent="0.2">
      <c r="A66" s="1" t="s">
        <v>7</v>
      </c>
      <c r="B66" s="104" t="s">
        <v>74</v>
      </c>
      <c r="C66" s="83"/>
      <c r="D66" s="6">
        <f>(16*21.083)-(16*21.083)*0.05</f>
        <v>320.46159999999998</v>
      </c>
    </row>
    <row r="67" spans="1:4" ht="24" customHeight="1" x14ac:dyDescent="0.2">
      <c r="A67" s="1" t="s">
        <v>10</v>
      </c>
      <c r="B67" s="104" t="s">
        <v>75</v>
      </c>
      <c r="C67" s="83"/>
      <c r="D67" s="6">
        <v>0</v>
      </c>
    </row>
    <row r="68" spans="1:4" ht="16.5" customHeight="1" x14ac:dyDescent="0.2">
      <c r="A68" s="1" t="s">
        <v>13</v>
      </c>
      <c r="B68" s="104" t="s">
        <v>76</v>
      </c>
      <c r="C68" s="83"/>
      <c r="D68" s="6">
        <v>0</v>
      </c>
    </row>
    <row r="69" spans="1:4" ht="27" customHeight="1" x14ac:dyDescent="0.2">
      <c r="A69" s="1" t="s">
        <v>34</v>
      </c>
      <c r="B69" s="104" t="s">
        <v>77</v>
      </c>
      <c r="C69" s="83"/>
      <c r="D69" s="6">
        <f>4.2+10.2+13+10.2+11.4</f>
        <v>48.999999999999993</v>
      </c>
    </row>
    <row r="70" spans="1:4" ht="27" customHeight="1" x14ac:dyDescent="0.2">
      <c r="A70" s="1" t="s">
        <v>36</v>
      </c>
      <c r="B70" s="104" t="s">
        <v>78</v>
      </c>
      <c r="C70" s="83"/>
      <c r="D70" s="6">
        <v>120</v>
      </c>
    </row>
    <row r="71" spans="1:4" ht="16.5" customHeight="1" x14ac:dyDescent="0.2">
      <c r="A71" s="1" t="s">
        <v>38</v>
      </c>
      <c r="B71" s="104" t="s">
        <v>79</v>
      </c>
      <c r="C71" s="83"/>
      <c r="D71" s="7">
        <v>0</v>
      </c>
    </row>
    <row r="72" spans="1:4" ht="16.5" customHeight="1" x14ac:dyDescent="0.2">
      <c r="A72" s="101" t="s">
        <v>80</v>
      </c>
      <c r="B72" s="82"/>
      <c r="C72" s="83"/>
      <c r="D72" s="9">
        <f>SUM(D65:D71)</f>
        <v>549.46159999999998</v>
      </c>
    </row>
    <row r="73" spans="1:4" ht="44.25" customHeight="1" x14ac:dyDescent="0.2">
      <c r="A73" s="104" t="s">
        <v>81</v>
      </c>
      <c r="B73" s="82"/>
      <c r="C73" s="82"/>
      <c r="D73" s="83"/>
    </row>
    <row r="74" spans="1:4" ht="16.5" customHeight="1" x14ac:dyDescent="0.2">
      <c r="A74" s="106" t="s">
        <v>82</v>
      </c>
      <c r="B74" s="82"/>
      <c r="C74" s="82"/>
      <c r="D74" s="83"/>
    </row>
    <row r="75" spans="1:4" ht="12.75" customHeight="1" x14ac:dyDescent="0.2">
      <c r="A75" s="5">
        <v>2</v>
      </c>
      <c r="B75" s="101" t="s">
        <v>83</v>
      </c>
      <c r="C75" s="83"/>
      <c r="D75" s="5" t="s">
        <v>29</v>
      </c>
    </row>
    <row r="76" spans="1:4" ht="12.75" customHeight="1" x14ac:dyDescent="0.2">
      <c r="A76" s="1" t="s">
        <v>48</v>
      </c>
      <c r="B76" s="104" t="s">
        <v>49</v>
      </c>
      <c r="C76" s="83"/>
      <c r="D76" s="7">
        <f>D49</f>
        <v>193.25417265000002</v>
      </c>
    </row>
    <row r="77" spans="1:4" ht="16.5" customHeight="1" x14ac:dyDescent="0.2">
      <c r="A77" s="1" t="s">
        <v>58</v>
      </c>
      <c r="B77" s="104" t="s">
        <v>59</v>
      </c>
      <c r="C77" s="83"/>
      <c r="D77" s="7">
        <f>D61</f>
        <v>495.21150000000006</v>
      </c>
    </row>
    <row r="78" spans="1:4" ht="16.5" customHeight="1" x14ac:dyDescent="0.2">
      <c r="A78" s="1" t="s">
        <v>71</v>
      </c>
      <c r="B78" s="104" t="s">
        <v>72</v>
      </c>
      <c r="C78" s="83"/>
      <c r="D78" s="7">
        <f>D72</f>
        <v>549.46159999999998</v>
      </c>
    </row>
    <row r="79" spans="1:4" ht="16.5" customHeight="1" x14ac:dyDescent="0.2">
      <c r="A79" s="101" t="s">
        <v>84</v>
      </c>
      <c r="B79" s="82"/>
      <c r="C79" s="83"/>
      <c r="D79" s="9">
        <f>SUM(D76:D78)</f>
        <v>1237.9272726500001</v>
      </c>
    </row>
    <row r="80" spans="1:4" ht="12.75" customHeight="1" x14ac:dyDescent="0.2">
      <c r="A80" s="108"/>
      <c r="B80" s="82"/>
      <c r="C80" s="82"/>
      <c r="D80" s="83"/>
    </row>
    <row r="81" spans="1:4" ht="16.5" customHeight="1" x14ac:dyDescent="0.2">
      <c r="A81" s="105" t="s">
        <v>85</v>
      </c>
      <c r="B81" s="82"/>
      <c r="C81" s="82"/>
      <c r="D81" s="83"/>
    </row>
    <row r="82" spans="1:4" ht="12.75" customHeight="1" x14ac:dyDescent="0.2">
      <c r="A82" s="5">
        <v>3</v>
      </c>
      <c r="B82" s="101" t="s">
        <v>86</v>
      </c>
      <c r="C82" s="83"/>
      <c r="D82" s="5" t="s">
        <v>29</v>
      </c>
    </row>
    <row r="83" spans="1:4" ht="66.75" customHeight="1" x14ac:dyDescent="0.2">
      <c r="A83" s="1" t="s">
        <v>5</v>
      </c>
      <c r="B83" s="104" t="s">
        <v>87</v>
      </c>
      <c r="C83" s="83"/>
      <c r="D83" s="7">
        <f>ROUND((($D$39/12)+($D$45/12)+($D$39/12/12)+($D$46/12))*(30/30)*0.05,2)</f>
        <v>6.19</v>
      </c>
    </row>
    <row r="84" spans="1:4" ht="26.25" customHeight="1" x14ac:dyDescent="0.2">
      <c r="A84" s="1" t="s">
        <v>7</v>
      </c>
      <c r="B84" s="104" t="s">
        <v>88</v>
      </c>
      <c r="C84" s="83"/>
      <c r="D84" s="7">
        <f>(D83*C60)</f>
        <v>0.49520000000000003</v>
      </c>
    </row>
    <row r="85" spans="1:4" ht="25.5" x14ac:dyDescent="0.2">
      <c r="A85" s="1" t="s">
        <v>10</v>
      </c>
      <c r="B85" s="17" t="s">
        <v>89</v>
      </c>
      <c r="C85" s="11" t="s">
        <v>51</v>
      </c>
      <c r="D85" s="6">
        <f>ROUND(0.08*0.4*($D$39+$D$45+$D$46+$D$96)*0.05,2)</f>
        <v>2.41</v>
      </c>
    </row>
    <row r="86" spans="1:4" ht="26.25" customHeight="1" x14ac:dyDescent="0.2">
      <c r="A86" s="1" t="s">
        <v>13</v>
      </c>
      <c r="B86" s="104" t="s">
        <v>90</v>
      </c>
      <c r="C86" s="83"/>
      <c r="D86" s="7">
        <f>D39*0.0194</f>
        <v>24.138450000000002</v>
      </c>
    </row>
    <row r="87" spans="1:4" ht="30.75" customHeight="1" x14ac:dyDescent="0.2">
      <c r="A87" s="1" t="s">
        <v>34</v>
      </c>
      <c r="B87" s="104" t="s">
        <v>91</v>
      </c>
      <c r="C87" s="83"/>
      <c r="D87" s="7">
        <f>D86*C61</f>
        <v>9.6071031000000033</v>
      </c>
    </row>
    <row r="88" spans="1:4" ht="30.75" customHeight="1" x14ac:dyDescent="0.2">
      <c r="A88" s="1" t="s">
        <v>36</v>
      </c>
      <c r="B88" s="17" t="s">
        <v>92</v>
      </c>
      <c r="C88" s="11" t="s">
        <v>51</v>
      </c>
      <c r="D88" s="7">
        <f>ROUND(0.08*0.4*($D$39+$D$45+$D$46+$D$96)*1,2)</f>
        <v>48.2</v>
      </c>
    </row>
    <row r="89" spans="1:4" ht="12.75" customHeight="1" x14ac:dyDescent="0.2">
      <c r="A89" s="101" t="s">
        <v>93</v>
      </c>
      <c r="B89" s="82"/>
      <c r="C89" s="83"/>
      <c r="D89" s="9">
        <f>SUM(D83+D84+D85+D86+D87+D88)</f>
        <v>91.040753100000018</v>
      </c>
    </row>
    <row r="90" spans="1:4" ht="12.75" customHeight="1" x14ac:dyDescent="0.2">
      <c r="A90" s="108"/>
      <c r="B90" s="82"/>
      <c r="C90" s="82"/>
      <c r="D90" s="83"/>
    </row>
    <row r="91" spans="1:4" ht="16.5" customHeight="1" x14ac:dyDescent="0.2">
      <c r="A91" s="105" t="s">
        <v>94</v>
      </c>
      <c r="B91" s="82"/>
      <c r="C91" s="82"/>
      <c r="D91" s="83"/>
    </row>
    <row r="92" spans="1:4" ht="39.75" customHeight="1" x14ac:dyDescent="0.2">
      <c r="A92" s="117" t="s">
        <v>95</v>
      </c>
      <c r="B92" s="82"/>
      <c r="C92" s="82"/>
      <c r="D92" s="83"/>
    </row>
    <row r="93" spans="1:4" ht="47.25" customHeight="1" x14ac:dyDescent="0.2">
      <c r="A93" s="118" t="s">
        <v>96</v>
      </c>
      <c r="B93" s="82"/>
      <c r="C93" s="83"/>
      <c r="D93" s="18">
        <f>ROUND(D39/12,2)+D39+D45+D46</f>
        <v>1486.1761750000001</v>
      </c>
    </row>
    <row r="94" spans="1:4" ht="12.75" customHeight="1" x14ac:dyDescent="0.2">
      <c r="A94" s="103" t="s">
        <v>97</v>
      </c>
      <c r="B94" s="82"/>
      <c r="C94" s="82"/>
      <c r="D94" s="83"/>
    </row>
    <row r="95" spans="1:4" ht="12.75" customHeight="1" x14ac:dyDescent="0.2">
      <c r="A95" s="5" t="s">
        <v>98</v>
      </c>
      <c r="B95" s="101" t="s">
        <v>99</v>
      </c>
      <c r="C95" s="83"/>
      <c r="D95" s="5" t="s">
        <v>29</v>
      </c>
    </row>
    <row r="96" spans="1:4" ht="12.75" customHeight="1" x14ac:dyDescent="0.2">
      <c r="A96" s="1" t="s">
        <v>5</v>
      </c>
      <c r="B96" s="104" t="s">
        <v>100</v>
      </c>
      <c r="C96" s="83"/>
      <c r="D96" s="7">
        <f>D93*(1/12)</f>
        <v>123.84801458333334</v>
      </c>
    </row>
    <row r="97" spans="1:4" ht="16.5" customHeight="1" x14ac:dyDescent="0.2">
      <c r="A97" s="1" t="s">
        <v>7</v>
      </c>
      <c r="B97" s="104" t="s">
        <v>101</v>
      </c>
      <c r="C97" s="83"/>
      <c r="D97" s="7">
        <f>($D$93/30/12)*1</f>
        <v>4.1282671527777781</v>
      </c>
    </row>
    <row r="98" spans="1:4" ht="16.5" customHeight="1" x14ac:dyDescent="0.2">
      <c r="A98" s="1" t="s">
        <v>10</v>
      </c>
      <c r="B98" s="104" t="s">
        <v>102</v>
      </c>
      <c r="C98" s="83"/>
      <c r="D98" s="7">
        <f>(($D$93/30/12)*5)*0.015</f>
        <v>0.30962003645833336</v>
      </c>
    </row>
    <row r="99" spans="1:4" ht="16.5" customHeight="1" x14ac:dyDescent="0.2">
      <c r="A99" s="1" t="s">
        <v>13</v>
      </c>
      <c r="B99" s="104" t="s">
        <v>103</v>
      </c>
      <c r="C99" s="83"/>
      <c r="D99" s="7">
        <f>(($D$93/30/12)*30)*0.08</f>
        <v>9.9078411666666675</v>
      </c>
    </row>
    <row r="100" spans="1:4" ht="16.5" customHeight="1" x14ac:dyDescent="0.2">
      <c r="A100" s="1" t="s">
        <v>34</v>
      </c>
      <c r="B100" s="104" t="s">
        <v>104</v>
      </c>
      <c r="C100" s="83"/>
      <c r="D100" s="7">
        <f>(($D$93/30/12)*5)*0.4</f>
        <v>8.2565343055555562</v>
      </c>
    </row>
    <row r="101" spans="1:4" ht="24.75" customHeight="1" x14ac:dyDescent="0.2">
      <c r="A101" s="1" t="s">
        <v>36</v>
      </c>
      <c r="B101" s="104" t="s">
        <v>105</v>
      </c>
      <c r="C101" s="83"/>
      <c r="D101" s="6">
        <f>(D96+D97+D98+D99+D100)*C61</f>
        <v>58.287210343427091</v>
      </c>
    </row>
    <row r="102" spans="1:4" ht="41.25" customHeight="1" x14ac:dyDescent="0.2">
      <c r="A102" s="1" t="s">
        <v>38</v>
      </c>
      <c r="B102" s="17" t="s">
        <v>106</v>
      </c>
      <c r="C102" s="11" t="s">
        <v>51</v>
      </c>
      <c r="D102" s="7">
        <f>(((D39+(D39/3))*(4/12))/12)*0.02</f>
        <v>0.92166666666666675</v>
      </c>
    </row>
    <row r="103" spans="1:4" ht="46.5" customHeight="1" x14ac:dyDescent="0.2">
      <c r="A103" s="1" t="s">
        <v>40</v>
      </c>
      <c r="B103" s="17" t="s">
        <v>107</v>
      </c>
      <c r="C103" s="11" t="s">
        <v>51</v>
      </c>
      <c r="D103" s="7">
        <f>D102*C61</f>
        <v>0.36682333333333345</v>
      </c>
    </row>
    <row r="104" spans="1:4" ht="39" customHeight="1" x14ac:dyDescent="0.2">
      <c r="A104" s="1" t="s">
        <v>42</v>
      </c>
      <c r="B104" s="17" t="s">
        <v>108</v>
      </c>
      <c r="C104" s="11" t="s">
        <v>51</v>
      </c>
      <c r="D104" s="7">
        <f>(((D39+(D39/12))*(4/12))*0.02)*C61</f>
        <v>3.5765275000000005</v>
      </c>
    </row>
    <row r="105" spans="1:4" ht="12.75" customHeight="1" x14ac:dyDescent="0.2">
      <c r="A105" s="101" t="s">
        <v>109</v>
      </c>
      <c r="B105" s="82"/>
      <c r="C105" s="83"/>
      <c r="D105" s="9">
        <f>SUM(D96:D104)</f>
        <v>209.60250508821875</v>
      </c>
    </row>
    <row r="106" spans="1:4" ht="12.75" customHeight="1" x14ac:dyDescent="0.2">
      <c r="A106" s="108"/>
      <c r="B106" s="82"/>
      <c r="C106" s="82"/>
      <c r="D106" s="83"/>
    </row>
    <row r="107" spans="1:4" ht="16.5" customHeight="1" x14ac:dyDescent="0.2">
      <c r="A107" s="106" t="s">
        <v>110</v>
      </c>
      <c r="B107" s="82"/>
      <c r="C107" s="82"/>
      <c r="D107" s="83"/>
    </row>
    <row r="108" spans="1:4" ht="12.75" customHeight="1" x14ac:dyDescent="0.2">
      <c r="A108" s="5" t="s">
        <v>111</v>
      </c>
      <c r="B108" s="101" t="s">
        <v>112</v>
      </c>
      <c r="C108" s="83"/>
      <c r="D108" s="5" t="s">
        <v>29</v>
      </c>
    </row>
    <row r="109" spans="1:4" ht="12.75" customHeight="1" x14ac:dyDescent="0.2">
      <c r="A109" s="1" t="s">
        <v>5</v>
      </c>
      <c r="B109" s="104" t="s">
        <v>113</v>
      </c>
      <c r="C109" s="83"/>
      <c r="D109" s="7">
        <v>0</v>
      </c>
    </row>
    <row r="110" spans="1:4" ht="12.75" customHeight="1" x14ac:dyDescent="0.2">
      <c r="A110" s="101" t="s">
        <v>114</v>
      </c>
      <c r="B110" s="82"/>
      <c r="C110" s="83"/>
      <c r="D110" s="9">
        <f>SUM(D109)</f>
        <v>0</v>
      </c>
    </row>
    <row r="111" spans="1:4" ht="12.75" customHeight="1" x14ac:dyDescent="0.2">
      <c r="A111" s="108"/>
      <c r="B111" s="82"/>
      <c r="C111" s="82"/>
      <c r="D111" s="83"/>
    </row>
    <row r="112" spans="1:4" ht="15.75" customHeight="1" x14ac:dyDescent="0.2">
      <c r="A112" s="106" t="s">
        <v>115</v>
      </c>
      <c r="B112" s="82"/>
      <c r="C112" s="82"/>
      <c r="D112" s="83"/>
    </row>
    <row r="113" spans="1:4" ht="12.75" customHeight="1" x14ac:dyDescent="0.2">
      <c r="A113" s="5">
        <v>4</v>
      </c>
      <c r="B113" s="101" t="s">
        <v>83</v>
      </c>
      <c r="C113" s="83"/>
      <c r="D113" s="5" t="s">
        <v>29</v>
      </c>
    </row>
    <row r="114" spans="1:4" ht="12.75" customHeight="1" x14ac:dyDescent="0.2">
      <c r="A114" s="1" t="s">
        <v>98</v>
      </c>
      <c r="B114" s="104" t="s">
        <v>116</v>
      </c>
      <c r="C114" s="83"/>
      <c r="D114" s="7">
        <f>D105</f>
        <v>209.60250508821875</v>
      </c>
    </row>
    <row r="115" spans="1:4" ht="16.5" customHeight="1" x14ac:dyDescent="0.2">
      <c r="A115" s="1" t="s">
        <v>111</v>
      </c>
      <c r="B115" s="104" t="s">
        <v>112</v>
      </c>
      <c r="C115" s="83"/>
      <c r="D115" s="7">
        <f>D110</f>
        <v>0</v>
      </c>
    </row>
    <row r="116" spans="1:4" ht="16.5" customHeight="1" x14ac:dyDescent="0.2">
      <c r="A116" s="101" t="s">
        <v>84</v>
      </c>
      <c r="B116" s="82"/>
      <c r="C116" s="83"/>
      <c r="D116" s="9">
        <f>D114+D115</f>
        <v>209.60250508821875</v>
      </c>
    </row>
    <row r="117" spans="1:4" ht="12.75" customHeight="1" x14ac:dyDescent="0.2">
      <c r="A117" s="108"/>
      <c r="B117" s="82"/>
      <c r="C117" s="82"/>
      <c r="D117" s="83"/>
    </row>
    <row r="118" spans="1:4" ht="16.5" customHeight="1" x14ac:dyDescent="0.2">
      <c r="A118" s="105" t="s">
        <v>117</v>
      </c>
      <c r="B118" s="82"/>
      <c r="C118" s="82"/>
      <c r="D118" s="83"/>
    </row>
    <row r="119" spans="1:4" ht="12.75" customHeight="1" x14ac:dyDescent="0.2">
      <c r="A119" s="5">
        <v>5</v>
      </c>
      <c r="B119" s="101" t="s">
        <v>118</v>
      </c>
      <c r="C119" s="83"/>
      <c r="D119" s="5" t="s">
        <v>29</v>
      </c>
    </row>
    <row r="120" spans="1:4" ht="12.75" x14ac:dyDescent="0.2">
      <c r="A120" s="1" t="s">
        <v>5</v>
      </c>
      <c r="B120" s="109" t="s">
        <v>119</v>
      </c>
      <c r="C120" s="83"/>
      <c r="D120" s="7">
        <f>'EPI E UNIFORMES'!$F$12</f>
        <v>32.770000000000003</v>
      </c>
    </row>
    <row r="121" spans="1:4" ht="38.25" customHeight="1" x14ac:dyDescent="0.2">
      <c r="A121" s="1" t="s">
        <v>7</v>
      </c>
      <c r="B121" s="109" t="s">
        <v>120</v>
      </c>
      <c r="C121" s="83"/>
      <c r="D121" s="7">
        <f>'EPI E UNIFORMES'!$F$22</f>
        <v>34.880000000000003</v>
      </c>
    </row>
    <row r="122" spans="1:4" ht="38.25" customHeight="1" x14ac:dyDescent="0.2">
      <c r="A122" s="1" t="s">
        <v>10</v>
      </c>
      <c r="B122" s="109" t="s">
        <v>121</v>
      </c>
      <c r="C122" s="83"/>
      <c r="D122" s="7">
        <f>INSUMOS!$H$77</f>
        <v>638.5</v>
      </c>
    </row>
    <row r="123" spans="1:4" ht="40.5" customHeight="1" x14ac:dyDescent="0.2">
      <c r="A123" s="1" t="s">
        <v>13</v>
      </c>
      <c r="B123" s="109" t="s">
        <v>122</v>
      </c>
      <c r="C123" s="83"/>
      <c r="D123" s="7">
        <f>EQUIPAMENTOS!$J$24</f>
        <v>63.58</v>
      </c>
    </row>
    <row r="124" spans="1:4" ht="16.5" customHeight="1" x14ac:dyDescent="0.2">
      <c r="A124" s="1" t="s">
        <v>34</v>
      </c>
      <c r="B124" s="109" t="s">
        <v>123</v>
      </c>
      <c r="C124" s="83"/>
      <c r="D124" s="6">
        <v>0</v>
      </c>
    </row>
    <row r="125" spans="1:4" ht="16.5" customHeight="1" x14ac:dyDescent="0.2">
      <c r="A125" s="101" t="s">
        <v>124</v>
      </c>
      <c r="B125" s="82"/>
      <c r="C125" s="83"/>
      <c r="D125" s="9">
        <f>SUM(D120:D124)</f>
        <v>769.73</v>
      </c>
    </row>
    <row r="126" spans="1:4" ht="12.75" customHeight="1" x14ac:dyDescent="0.2">
      <c r="A126" s="108"/>
      <c r="B126" s="82"/>
      <c r="C126" s="82"/>
      <c r="D126" s="83"/>
    </row>
    <row r="127" spans="1:4" ht="16.5" customHeight="1" x14ac:dyDescent="0.2">
      <c r="A127" s="105" t="s">
        <v>125</v>
      </c>
      <c r="B127" s="82"/>
      <c r="C127" s="82"/>
      <c r="D127" s="83"/>
    </row>
    <row r="128" spans="1:4" ht="12.75" customHeight="1" x14ac:dyDescent="0.2">
      <c r="A128" s="5">
        <v>6</v>
      </c>
      <c r="B128" s="13" t="s">
        <v>126</v>
      </c>
      <c r="C128" s="5" t="s">
        <v>127</v>
      </c>
      <c r="D128" s="11" t="s">
        <v>29</v>
      </c>
    </row>
    <row r="129" spans="1:4" ht="12.75" customHeight="1" x14ac:dyDescent="0.2">
      <c r="A129" s="1" t="s">
        <v>5</v>
      </c>
      <c r="B129" s="10" t="s">
        <v>128</v>
      </c>
      <c r="C129" s="19">
        <f>BDI!H5</f>
        <v>3.6740000000000002E-2</v>
      </c>
      <c r="D129" s="7">
        <f>D150*C129</f>
        <v>130.52070650299618</v>
      </c>
    </row>
    <row r="130" spans="1:4" ht="44.25" customHeight="1" x14ac:dyDescent="0.2">
      <c r="A130" s="104" t="s">
        <v>129</v>
      </c>
      <c r="B130" s="82"/>
      <c r="C130" s="82"/>
      <c r="D130" s="83"/>
    </row>
    <row r="131" spans="1:4" ht="12.75" customHeight="1" x14ac:dyDescent="0.2">
      <c r="A131" s="1" t="s">
        <v>7</v>
      </c>
      <c r="B131" s="10" t="s">
        <v>130</v>
      </c>
      <c r="C131" s="19">
        <f>BDI!H6</f>
        <v>3.0520000000000002E-2</v>
      </c>
      <c r="D131" s="7">
        <f>(D150+D129)*C131</f>
        <v>112.4073341636539</v>
      </c>
    </row>
    <row r="132" spans="1:4" ht="42.75" customHeight="1" x14ac:dyDescent="0.2">
      <c r="A132" s="104" t="s">
        <v>131</v>
      </c>
      <c r="B132" s="82"/>
      <c r="C132" s="82"/>
      <c r="D132" s="83"/>
    </row>
    <row r="133" spans="1:4" ht="12.75" customHeight="1" x14ac:dyDescent="0.2">
      <c r="A133" s="1" t="s">
        <v>10</v>
      </c>
      <c r="B133" s="10" t="s">
        <v>132</v>
      </c>
      <c r="C133" s="14"/>
      <c r="D133" s="1"/>
    </row>
    <row r="134" spans="1:4" ht="41.25" customHeight="1" x14ac:dyDescent="0.2">
      <c r="A134" s="104" t="s">
        <v>133</v>
      </c>
      <c r="B134" s="82"/>
      <c r="C134" s="82"/>
      <c r="D134" s="83"/>
    </row>
    <row r="135" spans="1:4" ht="12.75" customHeight="1" x14ac:dyDescent="0.2">
      <c r="A135" s="113"/>
      <c r="B135" s="10" t="s">
        <v>134</v>
      </c>
      <c r="C135" s="14"/>
      <c r="D135" s="1"/>
    </row>
    <row r="136" spans="1:4" ht="12.75" customHeight="1" x14ac:dyDescent="0.2">
      <c r="A136" s="114"/>
      <c r="B136" s="10" t="s">
        <v>135</v>
      </c>
      <c r="C136" s="14">
        <v>1.6500000000000001E-2</v>
      </c>
      <c r="D136" s="7">
        <f t="shared" ref="D136:D137" si="2">($D$129+$D$131+$D$150)/(1-($C$136+$C$137+$C$139))*C136</f>
        <v>72.190658708738155</v>
      </c>
    </row>
    <row r="137" spans="1:4" ht="12.75" customHeight="1" x14ac:dyDescent="0.2">
      <c r="A137" s="114"/>
      <c r="B137" s="10" t="s">
        <v>136</v>
      </c>
      <c r="C137" s="14">
        <v>7.5999999999999998E-2</v>
      </c>
      <c r="D137" s="7">
        <f t="shared" si="2"/>
        <v>332.51454920388483</v>
      </c>
    </row>
    <row r="138" spans="1:4" ht="12.75" customHeight="1" x14ac:dyDescent="0.2">
      <c r="A138" s="114"/>
      <c r="B138" s="10" t="s">
        <v>137</v>
      </c>
      <c r="C138" s="14"/>
      <c r="D138" s="1"/>
    </row>
    <row r="139" spans="1:4" ht="12.75" customHeight="1" x14ac:dyDescent="0.2">
      <c r="A139" s="114"/>
      <c r="B139" s="10" t="s">
        <v>138</v>
      </c>
      <c r="C139" s="110">
        <v>0.04</v>
      </c>
      <c r="D139" s="112">
        <f>($D$129+$D$131+$D$150)/(1-($C$136+$C$137+$C$139))*C139</f>
        <v>175.00765747572885</v>
      </c>
    </row>
    <row r="140" spans="1:4" ht="12.75" customHeight="1" x14ac:dyDescent="0.2">
      <c r="A140" s="111"/>
      <c r="B140" s="10" t="s">
        <v>139</v>
      </c>
      <c r="C140" s="111"/>
      <c r="D140" s="111"/>
    </row>
    <row r="141" spans="1:4" ht="12.75" customHeight="1" x14ac:dyDescent="0.2">
      <c r="A141" s="101" t="s">
        <v>140</v>
      </c>
      <c r="B141" s="82"/>
      <c r="C141" s="83"/>
      <c r="D141" s="20">
        <f>SUM(D129:D139)</f>
        <v>822.64090605500189</v>
      </c>
    </row>
    <row r="142" spans="1:4" ht="26.25" customHeight="1" x14ac:dyDescent="0.2">
      <c r="A142" s="116" t="s">
        <v>141</v>
      </c>
      <c r="B142" s="82"/>
      <c r="C142" s="82"/>
      <c r="D142" s="83"/>
    </row>
    <row r="143" spans="1:4" ht="12.75" customHeight="1" x14ac:dyDescent="0.2">
      <c r="A143" s="103" t="s">
        <v>142</v>
      </c>
      <c r="B143" s="82"/>
      <c r="C143" s="82"/>
      <c r="D143" s="83"/>
    </row>
    <row r="144" spans="1:4" ht="12.75" customHeight="1" x14ac:dyDescent="0.2">
      <c r="A144" s="21"/>
      <c r="B144" s="101" t="s">
        <v>143</v>
      </c>
      <c r="C144" s="83"/>
      <c r="D144" s="8" t="s">
        <v>144</v>
      </c>
    </row>
    <row r="145" spans="1:4" ht="12.75" customHeight="1" x14ac:dyDescent="0.2">
      <c r="A145" s="1" t="s">
        <v>5</v>
      </c>
      <c r="B145" s="104" t="s">
        <v>145</v>
      </c>
      <c r="C145" s="83"/>
      <c r="D145" s="7">
        <f>D39</f>
        <v>1244.25</v>
      </c>
    </row>
    <row r="146" spans="1:4" ht="12.75" customHeight="1" x14ac:dyDescent="0.2">
      <c r="A146" s="1" t="s">
        <v>7</v>
      </c>
      <c r="B146" s="104" t="s">
        <v>146</v>
      </c>
      <c r="C146" s="83"/>
      <c r="D146" s="7">
        <f>D79</f>
        <v>1237.9272726500001</v>
      </c>
    </row>
    <row r="147" spans="1:4" ht="26.25" customHeight="1" x14ac:dyDescent="0.2">
      <c r="A147" s="1" t="s">
        <v>10</v>
      </c>
      <c r="B147" s="104" t="s">
        <v>147</v>
      </c>
      <c r="C147" s="83"/>
      <c r="D147" s="7">
        <f>D89</f>
        <v>91.040753100000018</v>
      </c>
    </row>
    <row r="148" spans="1:4" ht="16.5" customHeight="1" x14ac:dyDescent="0.2">
      <c r="A148" s="1" t="s">
        <v>13</v>
      </c>
      <c r="B148" s="104" t="s">
        <v>148</v>
      </c>
      <c r="C148" s="83"/>
      <c r="D148" s="7">
        <f>D116</f>
        <v>209.60250508821875</v>
      </c>
    </row>
    <row r="149" spans="1:4" ht="16.5" customHeight="1" x14ac:dyDescent="0.2">
      <c r="A149" s="1" t="s">
        <v>34</v>
      </c>
      <c r="B149" s="104" t="s">
        <v>149</v>
      </c>
      <c r="C149" s="83"/>
      <c r="D149" s="7">
        <f>D125</f>
        <v>769.73</v>
      </c>
    </row>
    <row r="150" spans="1:4" ht="16.5" customHeight="1" x14ac:dyDescent="0.2">
      <c r="A150" s="107" t="s">
        <v>150</v>
      </c>
      <c r="B150" s="82"/>
      <c r="C150" s="83"/>
      <c r="D150" s="12">
        <f>SUM(D145:D149)</f>
        <v>3552.5505308382189</v>
      </c>
    </row>
    <row r="151" spans="1:4" ht="16.5" customHeight="1" x14ac:dyDescent="0.2">
      <c r="A151" s="1" t="s">
        <v>36</v>
      </c>
      <c r="B151" s="104" t="s">
        <v>151</v>
      </c>
      <c r="C151" s="83"/>
      <c r="D151" s="7">
        <f>D141</f>
        <v>822.64090605500189</v>
      </c>
    </row>
    <row r="152" spans="1:4" ht="16.5" customHeight="1" x14ac:dyDescent="0.2">
      <c r="A152" s="1" t="s">
        <v>38</v>
      </c>
      <c r="B152" s="104" t="s">
        <v>152</v>
      </c>
      <c r="C152" s="83"/>
      <c r="D152" s="7">
        <v>0</v>
      </c>
    </row>
    <row r="153" spans="1:4" ht="16.5" customHeight="1" x14ac:dyDescent="0.2">
      <c r="A153" s="115" t="s">
        <v>153</v>
      </c>
      <c r="B153" s="82"/>
      <c r="C153" s="83"/>
      <c r="D153" s="22">
        <f>SUM(D151+D150+D152)</f>
        <v>4375.1914368932212</v>
      </c>
    </row>
  </sheetData>
  <mergeCells count="127">
    <mergeCell ref="A111:D111"/>
    <mergeCell ref="A112:D112"/>
    <mergeCell ref="B113:C113"/>
    <mergeCell ref="B114:C114"/>
    <mergeCell ref="B115:C115"/>
    <mergeCell ref="A116:C116"/>
    <mergeCell ref="A117:D117"/>
    <mergeCell ref="B99:C99"/>
    <mergeCell ref="B100:C100"/>
    <mergeCell ref="B101:C101"/>
    <mergeCell ref="A105:C105"/>
    <mergeCell ref="A106:D106"/>
    <mergeCell ref="A107:D107"/>
    <mergeCell ref="B108:C108"/>
    <mergeCell ref="B109:C109"/>
    <mergeCell ref="A110:C110"/>
    <mergeCell ref="A90:D90"/>
    <mergeCell ref="A91:D91"/>
    <mergeCell ref="A92:D92"/>
    <mergeCell ref="A93:C93"/>
    <mergeCell ref="A94:D94"/>
    <mergeCell ref="B95:C95"/>
    <mergeCell ref="B96:C96"/>
    <mergeCell ref="B97:C97"/>
    <mergeCell ref="B98:C98"/>
    <mergeCell ref="A79:C79"/>
    <mergeCell ref="A80:D80"/>
    <mergeCell ref="A81:D81"/>
    <mergeCell ref="B82:C82"/>
    <mergeCell ref="B83:C83"/>
    <mergeCell ref="B84:C84"/>
    <mergeCell ref="B86:C86"/>
    <mergeCell ref="B87:C87"/>
    <mergeCell ref="A89:C89"/>
    <mergeCell ref="B148:C148"/>
    <mergeCell ref="B149:C149"/>
    <mergeCell ref="A150:C150"/>
    <mergeCell ref="B151:C151"/>
    <mergeCell ref="B152:C152"/>
    <mergeCell ref="A153:C153"/>
    <mergeCell ref="A141:C141"/>
    <mergeCell ref="A142:D142"/>
    <mergeCell ref="A143:D143"/>
    <mergeCell ref="B144:C144"/>
    <mergeCell ref="B145:C145"/>
    <mergeCell ref="B146:C146"/>
    <mergeCell ref="B147:C147"/>
    <mergeCell ref="B123:C123"/>
    <mergeCell ref="B124:C124"/>
    <mergeCell ref="C139:C140"/>
    <mergeCell ref="D139:D140"/>
    <mergeCell ref="A125:C125"/>
    <mergeCell ref="A126:D126"/>
    <mergeCell ref="A127:D127"/>
    <mergeCell ref="A130:D130"/>
    <mergeCell ref="A132:D132"/>
    <mergeCell ref="A134:D134"/>
    <mergeCell ref="A135:A140"/>
    <mergeCell ref="A50:D50"/>
    <mergeCell ref="A51:D51"/>
    <mergeCell ref="A62:D62"/>
    <mergeCell ref="A63:D63"/>
    <mergeCell ref="A118:D118"/>
    <mergeCell ref="B119:C119"/>
    <mergeCell ref="B120:C120"/>
    <mergeCell ref="B121:C121"/>
    <mergeCell ref="B122:C122"/>
    <mergeCell ref="B64:C64"/>
    <mergeCell ref="B65:C65"/>
    <mergeCell ref="B66:C66"/>
    <mergeCell ref="B67:C67"/>
    <mergeCell ref="B68:C68"/>
    <mergeCell ref="B69:C69"/>
    <mergeCell ref="B70:C70"/>
    <mergeCell ref="B71:C71"/>
    <mergeCell ref="A72:C72"/>
    <mergeCell ref="A73:D73"/>
    <mergeCell ref="A74:D74"/>
    <mergeCell ref="B75:C75"/>
    <mergeCell ref="B76:C76"/>
    <mergeCell ref="B77:C77"/>
    <mergeCell ref="B78:C78"/>
    <mergeCell ref="B38:C38"/>
    <mergeCell ref="B39:C39"/>
    <mergeCell ref="A40:D40"/>
    <mergeCell ref="A41:D41"/>
    <mergeCell ref="A42:D42"/>
    <mergeCell ref="A43:D43"/>
    <mergeCell ref="B44:C44"/>
    <mergeCell ref="A47:C47"/>
    <mergeCell ref="A49:C49"/>
    <mergeCell ref="B29:C29"/>
    <mergeCell ref="B30:C30"/>
    <mergeCell ref="B31:C31"/>
    <mergeCell ref="B32:C32"/>
    <mergeCell ref="B33:C33"/>
    <mergeCell ref="B34:C34"/>
    <mergeCell ref="B35:C35"/>
    <mergeCell ref="B36:C36"/>
    <mergeCell ref="B37:C37"/>
    <mergeCell ref="A20:D20"/>
    <mergeCell ref="A21:D21"/>
    <mergeCell ref="B22:C22"/>
    <mergeCell ref="B23:C23"/>
    <mergeCell ref="B24:C24"/>
    <mergeCell ref="B25:C25"/>
    <mergeCell ref="B26:C26"/>
    <mergeCell ref="A27:D27"/>
    <mergeCell ref="A28:D28"/>
    <mergeCell ref="B11:C11"/>
    <mergeCell ref="B12:C12"/>
    <mergeCell ref="B13:C13"/>
    <mergeCell ref="A14:D14"/>
    <mergeCell ref="A15:D15"/>
    <mergeCell ref="A16:D16"/>
    <mergeCell ref="A17:D17"/>
    <mergeCell ref="A18:D18"/>
    <mergeCell ref="A19:D19"/>
    <mergeCell ref="A1:D1"/>
    <mergeCell ref="A2:D2"/>
    <mergeCell ref="A3:D3"/>
    <mergeCell ref="A8:D8"/>
    <mergeCell ref="A4:D4"/>
    <mergeCell ref="A5:D5"/>
    <mergeCell ref="A6:D7"/>
    <mergeCell ref="A9:D9"/>
    <mergeCell ref="B10:C10"/>
  </mergeCells>
  <pageMargins left="0.25" right="0.25" top="0.75" bottom="0.75" header="0" footer="0"/>
  <pageSetup paperSize="9" scale="83" fitToHeight="0"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E7E6E6"/>
    <pageSetUpPr fitToPage="1"/>
  </sheetPr>
  <dimension ref="A1:D153"/>
  <sheetViews>
    <sheetView showGridLines="0" workbookViewId="0"/>
  </sheetViews>
  <sheetFormatPr defaultColWidth="14.42578125" defaultRowHeight="15" customHeight="1" x14ac:dyDescent="0.2"/>
  <cols>
    <col min="1" max="1" width="14.85546875" customWidth="1"/>
    <col min="2" max="2" width="61.28515625" customWidth="1"/>
    <col min="3" max="3" width="14.5703125" customWidth="1"/>
    <col min="4" max="4" width="29.7109375" customWidth="1"/>
  </cols>
  <sheetData>
    <row r="1" spans="1:4" ht="18" x14ac:dyDescent="0.25">
      <c r="A1" s="81" t="s">
        <v>0</v>
      </c>
      <c r="B1" s="82"/>
      <c r="C1" s="82"/>
      <c r="D1" s="83"/>
    </row>
    <row r="2" spans="1:4" ht="31.5" customHeight="1" x14ac:dyDescent="0.2">
      <c r="A2" s="115" t="s">
        <v>154</v>
      </c>
      <c r="B2" s="82"/>
      <c r="C2" s="82"/>
      <c r="D2" s="83"/>
    </row>
    <row r="3" spans="1:4" ht="12.75" customHeight="1" x14ac:dyDescent="0.2">
      <c r="A3" s="85"/>
      <c r="B3" s="86"/>
      <c r="C3" s="86"/>
      <c r="D3" s="87"/>
    </row>
    <row r="4" spans="1:4" ht="12.75" customHeight="1" x14ac:dyDescent="0.2">
      <c r="A4" s="91" t="s">
        <v>2</v>
      </c>
      <c r="B4" s="92"/>
      <c r="C4" s="92"/>
      <c r="D4" s="92"/>
    </row>
    <row r="5" spans="1:4" ht="12.75" customHeight="1" x14ac:dyDescent="0.2">
      <c r="A5" s="91" t="s">
        <v>3</v>
      </c>
      <c r="B5" s="92"/>
      <c r="C5" s="92"/>
      <c r="D5" s="92"/>
    </row>
    <row r="6" spans="1:4" ht="12.75" customHeight="1" x14ac:dyDescent="0.2">
      <c r="A6" s="93"/>
      <c r="B6" s="92"/>
      <c r="C6" s="92"/>
      <c r="D6" s="94"/>
    </row>
    <row r="7" spans="1:4" ht="12.75" customHeight="1" x14ac:dyDescent="0.2">
      <c r="A7" s="95"/>
      <c r="B7" s="92"/>
      <c r="C7" s="92"/>
      <c r="D7" s="94"/>
    </row>
    <row r="8" spans="1:4" ht="12.75" customHeight="1" x14ac:dyDescent="0.2">
      <c r="A8" s="88"/>
      <c r="B8" s="89"/>
      <c r="C8" s="89"/>
      <c r="D8" s="90"/>
    </row>
    <row r="9" spans="1:4" ht="13.5" customHeight="1" x14ac:dyDescent="0.2">
      <c r="A9" s="96" t="s">
        <v>4</v>
      </c>
      <c r="B9" s="97"/>
      <c r="C9" s="97"/>
      <c r="D9" s="98"/>
    </row>
    <row r="10" spans="1:4" ht="12.75" customHeight="1" x14ac:dyDescent="0.2">
      <c r="A10" s="1" t="s">
        <v>5</v>
      </c>
      <c r="B10" s="99" t="s">
        <v>6</v>
      </c>
      <c r="C10" s="83"/>
      <c r="D10" s="1"/>
    </row>
    <row r="11" spans="1:4" ht="12.75" customHeight="1" x14ac:dyDescent="0.2">
      <c r="A11" s="1" t="s">
        <v>7</v>
      </c>
      <c r="B11" s="99" t="s">
        <v>8</v>
      </c>
      <c r="C11" s="83"/>
      <c r="D11" s="2" t="s">
        <v>9</v>
      </c>
    </row>
    <row r="12" spans="1:4" ht="12.75" customHeight="1" x14ac:dyDescent="0.2">
      <c r="A12" s="1" t="s">
        <v>10</v>
      </c>
      <c r="B12" s="99" t="s">
        <v>11</v>
      </c>
      <c r="C12" s="83"/>
      <c r="D12" s="1" t="s">
        <v>12</v>
      </c>
    </row>
    <row r="13" spans="1:4" ht="12.75" customHeight="1" x14ac:dyDescent="0.2">
      <c r="A13" s="1" t="s">
        <v>13</v>
      </c>
      <c r="B13" s="99" t="s">
        <v>14</v>
      </c>
      <c r="C13" s="83"/>
      <c r="D13" s="1">
        <v>12</v>
      </c>
    </row>
    <row r="14" spans="1:4" ht="12.75" customHeight="1" x14ac:dyDescent="0.2">
      <c r="A14" s="100"/>
      <c r="B14" s="82"/>
      <c r="C14" s="82"/>
      <c r="D14" s="83"/>
    </row>
    <row r="15" spans="1:4" ht="12.75" customHeight="1" x14ac:dyDescent="0.2">
      <c r="A15" s="96" t="s">
        <v>15</v>
      </c>
      <c r="B15" s="97"/>
      <c r="C15" s="97"/>
      <c r="D15" s="98"/>
    </row>
    <row r="16" spans="1:4" ht="12.75" customHeight="1" x14ac:dyDescent="0.2">
      <c r="A16" s="101" t="s">
        <v>16</v>
      </c>
      <c r="B16" s="82"/>
      <c r="C16" s="82"/>
      <c r="D16" s="83"/>
    </row>
    <row r="17" spans="1:4" ht="12.75" customHeight="1" x14ac:dyDescent="0.2">
      <c r="A17" s="99" t="s">
        <v>17</v>
      </c>
      <c r="B17" s="82"/>
      <c r="C17" s="82"/>
      <c r="D17" s="83"/>
    </row>
    <row r="18" spans="1:4" ht="12.75" customHeight="1" x14ac:dyDescent="0.2">
      <c r="A18" s="100"/>
      <c r="B18" s="82"/>
      <c r="C18" s="82"/>
      <c r="D18" s="83"/>
    </row>
    <row r="19" spans="1:4" ht="20.25" customHeight="1" x14ac:dyDescent="0.2">
      <c r="A19" s="102" t="s">
        <v>18</v>
      </c>
      <c r="B19" s="82"/>
      <c r="C19" s="82"/>
      <c r="D19" s="83"/>
    </row>
    <row r="20" spans="1:4" ht="12.75" customHeight="1" x14ac:dyDescent="0.2">
      <c r="A20" s="103" t="s">
        <v>19</v>
      </c>
      <c r="B20" s="82"/>
      <c r="C20" s="82"/>
      <c r="D20" s="83"/>
    </row>
    <row r="21" spans="1:4" ht="15.75" customHeight="1" x14ac:dyDescent="0.2">
      <c r="A21" s="101" t="s">
        <v>20</v>
      </c>
      <c r="B21" s="82"/>
      <c r="C21" s="82"/>
      <c r="D21" s="83"/>
    </row>
    <row r="22" spans="1:4" ht="12.75" x14ac:dyDescent="0.2">
      <c r="A22" s="1">
        <v>1</v>
      </c>
      <c r="B22" s="104" t="s">
        <v>21</v>
      </c>
      <c r="C22" s="83"/>
      <c r="D22" s="1" t="str">
        <f>A17</f>
        <v>Limpeza e Conservação</v>
      </c>
    </row>
    <row r="23" spans="1:4" ht="12.75" customHeight="1" x14ac:dyDescent="0.2">
      <c r="A23" s="1">
        <v>2</v>
      </c>
      <c r="B23" s="104" t="s">
        <v>22</v>
      </c>
      <c r="C23" s="83"/>
      <c r="D23" s="1" t="s">
        <v>23</v>
      </c>
    </row>
    <row r="24" spans="1:4" ht="12.75" customHeight="1" x14ac:dyDescent="0.2">
      <c r="A24" s="1">
        <v>3</v>
      </c>
      <c r="B24" s="104" t="s">
        <v>24</v>
      </c>
      <c r="C24" s="83"/>
      <c r="D24" s="3">
        <v>1198.0899999999999</v>
      </c>
    </row>
    <row r="25" spans="1:4" ht="78.75" customHeight="1" x14ac:dyDescent="0.2">
      <c r="A25" s="1">
        <v>4</v>
      </c>
      <c r="B25" s="104" t="s">
        <v>25</v>
      </c>
      <c r="C25" s="83"/>
      <c r="D25" s="1" t="str">
        <f>A2</f>
        <v>SERVENTE DE LIMPEZA  (44 HORAS de segunda a sábado) com insalubridade 10%, para limpeza geral com prioridade para os banheiros com até 20 usuários por dia</v>
      </c>
    </row>
    <row r="26" spans="1:4" ht="12.75" customHeight="1" x14ac:dyDescent="0.2">
      <c r="A26" s="1">
        <v>5</v>
      </c>
      <c r="B26" s="104" t="s">
        <v>26</v>
      </c>
      <c r="C26" s="83"/>
      <c r="D26" s="4">
        <v>44197</v>
      </c>
    </row>
    <row r="27" spans="1:4" ht="12.75" customHeight="1" x14ac:dyDescent="0.2">
      <c r="A27" s="100"/>
      <c r="B27" s="82"/>
      <c r="C27" s="82"/>
      <c r="D27" s="83"/>
    </row>
    <row r="28" spans="1:4" ht="12.75" customHeight="1" x14ac:dyDescent="0.2">
      <c r="A28" s="105" t="s">
        <v>27</v>
      </c>
      <c r="B28" s="82"/>
      <c r="C28" s="82"/>
      <c r="D28" s="83"/>
    </row>
    <row r="29" spans="1:4" ht="12.75" customHeight="1" x14ac:dyDescent="0.2">
      <c r="A29" s="5">
        <v>1</v>
      </c>
      <c r="B29" s="101" t="s">
        <v>28</v>
      </c>
      <c r="C29" s="83"/>
      <c r="D29" s="5" t="s">
        <v>29</v>
      </c>
    </row>
    <row r="30" spans="1:4" ht="12.75" customHeight="1" x14ac:dyDescent="0.2">
      <c r="A30" s="1" t="s">
        <v>5</v>
      </c>
      <c r="B30" s="104" t="s">
        <v>30</v>
      </c>
      <c r="C30" s="83"/>
      <c r="D30" s="6">
        <v>1198.0899999999999</v>
      </c>
    </row>
    <row r="31" spans="1:4" ht="12.75" customHeight="1" x14ac:dyDescent="0.2">
      <c r="A31" s="1" t="s">
        <v>7</v>
      </c>
      <c r="B31" s="104" t="s">
        <v>31</v>
      </c>
      <c r="C31" s="83"/>
      <c r="D31" s="7">
        <v>0</v>
      </c>
    </row>
    <row r="32" spans="1:4" ht="35.25" customHeight="1" x14ac:dyDescent="0.2">
      <c r="A32" s="1" t="s">
        <v>10</v>
      </c>
      <c r="B32" s="104" t="s">
        <v>155</v>
      </c>
      <c r="C32" s="83"/>
      <c r="D32" s="7">
        <f>1100*0.1</f>
        <v>110</v>
      </c>
    </row>
    <row r="33" spans="1:4" ht="36.75" customHeight="1" x14ac:dyDescent="0.2">
      <c r="A33" s="1" t="s">
        <v>13</v>
      </c>
      <c r="B33" s="104" t="s">
        <v>156</v>
      </c>
      <c r="C33" s="83"/>
      <c r="D33" s="7">
        <v>0</v>
      </c>
    </row>
    <row r="34" spans="1:4" ht="24.75" customHeight="1" x14ac:dyDescent="0.2">
      <c r="A34" s="1" t="s">
        <v>34</v>
      </c>
      <c r="B34" s="104" t="s">
        <v>157</v>
      </c>
      <c r="C34" s="83"/>
      <c r="D34" s="7">
        <v>0</v>
      </c>
    </row>
    <row r="35" spans="1:4" ht="32.25" customHeight="1" x14ac:dyDescent="0.2">
      <c r="A35" s="1" t="s">
        <v>36</v>
      </c>
      <c r="B35" s="104" t="s">
        <v>158</v>
      </c>
      <c r="C35" s="83"/>
      <c r="D35" s="7">
        <v>0</v>
      </c>
    </row>
    <row r="36" spans="1:4" ht="26.25" customHeight="1" x14ac:dyDescent="0.2">
      <c r="A36" s="1" t="s">
        <v>38</v>
      </c>
      <c r="B36" s="104" t="s">
        <v>159</v>
      </c>
      <c r="C36" s="83"/>
      <c r="D36" s="7">
        <v>0</v>
      </c>
    </row>
    <row r="37" spans="1:4" ht="12.75" customHeight="1" x14ac:dyDescent="0.2">
      <c r="A37" s="1" t="s">
        <v>40</v>
      </c>
      <c r="B37" s="104" t="s">
        <v>41</v>
      </c>
      <c r="C37" s="83"/>
      <c r="D37" s="6">
        <v>46.16</v>
      </c>
    </row>
    <row r="38" spans="1:4" ht="12.75" customHeight="1" x14ac:dyDescent="0.2">
      <c r="A38" s="1" t="s">
        <v>42</v>
      </c>
      <c r="B38" s="104" t="s">
        <v>43</v>
      </c>
      <c r="C38" s="83"/>
      <c r="D38" s="7">
        <v>0</v>
      </c>
    </row>
    <row r="39" spans="1:4" ht="12.75" customHeight="1" x14ac:dyDescent="0.2">
      <c r="A39" s="8"/>
      <c r="B39" s="101" t="s">
        <v>44</v>
      </c>
      <c r="C39" s="83"/>
      <c r="D39" s="9">
        <f>SUM(D30:D38)</f>
        <v>1354.25</v>
      </c>
    </row>
    <row r="40" spans="1:4" ht="12.75" customHeight="1" x14ac:dyDescent="0.2">
      <c r="A40" s="99" t="s">
        <v>45</v>
      </c>
      <c r="B40" s="82"/>
      <c r="C40" s="82"/>
      <c r="D40" s="83"/>
    </row>
    <row r="41" spans="1:4" ht="12.75" customHeight="1" x14ac:dyDescent="0.2">
      <c r="A41" s="100"/>
      <c r="B41" s="82"/>
      <c r="C41" s="82"/>
      <c r="D41" s="83"/>
    </row>
    <row r="42" spans="1:4" ht="12.75" customHeight="1" x14ac:dyDescent="0.2">
      <c r="A42" s="105" t="s">
        <v>46</v>
      </c>
      <c r="B42" s="82"/>
      <c r="C42" s="82"/>
      <c r="D42" s="83"/>
    </row>
    <row r="43" spans="1:4" ht="12.75" customHeight="1" x14ac:dyDescent="0.2">
      <c r="A43" s="106" t="s">
        <v>47</v>
      </c>
      <c r="B43" s="82"/>
      <c r="C43" s="82"/>
      <c r="D43" s="83"/>
    </row>
    <row r="44" spans="1:4" ht="12.75" customHeight="1" x14ac:dyDescent="0.2">
      <c r="A44" s="5" t="s">
        <v>48</v>
      </c>
      <c r="B44" s="101" t="s">
        <v>49</v>
      </c>
      <c r="C44" s="83"/>
      <c r="D44" s="5" t="s">
        <v>29</v>
      </c>
    </row>
    <row r="45" spans="1:4" ht="12.75" customHeight="1" x14ac:dyDescent="0.2">
      <c r="A45" s="1" t="s">
        <v>5</v>
      </c>
      <c r="B45" s="10" t="s">
        <v>160</v>
      </c>
      <c r="C45" s="11" t="s">
        <v>51</v>
      </c>
      <c r="D45" s="7">
        <f>D39*0.0833</f>
        <v>112.80902500000001</v>
      </c>
    </row>
    <row r="46" spans="1:4" ht="12.75" customHeight="1" x14ac:dyDescent="0.2">
      <c r="A46" s="1" t="s">
        <v>7</v>
      </c>
      <c r="B46" s="10" t="s">
        <v>161</v>
      </c>
      <c r="C46" s="11" t="s">
        <v>51</v>
      </c>
      <c r="D46" s="7">
        <f>D39*0.0278</f>
        <v>37.648150000000001</v>
      </c>
    </row>
    <row r="47" spans="1:4" ht="12.75" customHeight="1" x14ac:dyDescent="0.2">
      <c r="A47" s="107" t="s">
        <v>53</v>
      </c>
      <c r="B47" s="82"/>
      <c r="C47" s="83"/>
      <c r="D47" s="12">
        <f>SUM(D45:D46)</f>
        <v>150.45717500000001</v>
      </c>
    </row>
    <row r="48" spans="1:4" ht="12.75" customHeight="1" x14ac:dyDescent="0.2">
      <c r="A48" s="1" t="s">
        <v>10</v>
      </c>
      <c r="B48" s="10" t="s">
        <v>162</v>
      </c>
      <c r="C48" s="11" t="s">
        <v>51</v>
      </c>
      <c r="D48" s="7">
        <f>(D45+D46)*C61</f>
        <v>59.881955650000016</v>
      </c>
    </row>
    <row r="49" spans="1:4" ht="12.75" customHeight="1" x14ac:dyDescent="0.2">
      <c r="A49" s="101" t="s">
        <v>55</v>
      </c>
      <c r="B49" s="82"/>
      <c r="C49" s="83"/>
      <c r="D49" s="9">
        <f>D47+D48</f>
        <v>210.33913065000002</v>
      </c>
    </row>
    <row r="50" spans="1:4" ht="55.5" customHeight="1" x14ac:dyDescent="0.2">
      <c r="A50" s="104" t="s">
        <v>56</v>
      </c>
      <c r="B50" s="82"/>
      <c r="C50" s="82"/>
      <c r="D50" s="83"/>
    </row>
    <row r="51" spans="1:4" ht="12.75" customHeight="1" x14ac:dyDescent="0.2">
      <c r="A51" s="103" t="s">
        <v>57</v>
      </c>
      <c r="B51" s="82"/>
      <c r="C51" s="82"/>
      <c r="D51" s="83"/>
    </row>
    <row r="52" spans="1:4" ht="12.75" customHeight="1" x14ac:dyDescent="0.2">
      <c r="A52" s="5" t="s">
        <v>58</v>
      </c>
      <c r="B52" s="13" t="s">
        <v>59</v>
      </c>
      <c r="C52" s="5" t="s">
        <v>60</v>
      </c>
      <c r="D52" s="5" t="s">
        <v>29</v>
      </c>
    </row>
    <row r="53" spans="1:4" ht="12.75" customHeight="1" x14ac:dyDescent="0.2">
      <c r="A53" s="1" t="s">
        <v>5</v>
      </c>
      <c r="B53" s="10" t="s">
        <v>61</v>
      </c>
      <c r="C53" s="14">
        <v>0.2</v>
      </c>
      <c r="D53" s="7">
        <f t="shared" ref="D53:D60" si="0">C53*$D$39</f>
        <v>270.85000000000002</v>
      </c>
    </row>
    <row r="54" spans="1:4" ht="12.75" customHeight="1" x14ac:dyDescent="0.2">
      <c r="A54" s="1" t="s">
        <v>7</v>
      </c>
      <c r="B54" s="10" t="s">
        <v>62</v>
      </c>
      <c r="C54" s="14">
        <v>2.5000000000000001E-2</v>
      </c>
      <c r="D54" s="7">
        <f t="shared" si="0"/>
        <v>33.856250000000003</v>
      </c>
    </row>
    <row r="55" spans="1:4" ht="12.75" customHeight="1" x14ac:dyDescent="0.2">
      <c r="A55" s="1" t="s">
        <v>10</v>
      </c>
      <c r="B55" s="10" t="s">
        <v>63</v>
      </c>
      <c r="C55" s="14">
        <v>0.06</v>
      </c>
      <c r="D55" s="7">
        <f t="shared" si="0"/>
        <v>81.254999999999995</v>
      </c>
    </row>
    <row r="56" spans="1:4" ht="12.75" customHeight="1" x14ac:dyDescent="0.2">
      <c r="A56" s="1" t="s">
        <v>13</v>
      </c>
      <c r="B56" s="10" t="s">
        <v>64</v>
      </c>
      <c r="C56" s="14">
        <v>1.4999999999999999E-2</v>
      </c>
      <c r="D56" s="7">
        <f t="shared" si="0"/>
        <v>20.313749999999999</v>
      </c>
    </row>
    <row r="57" spans="1:4" ht="12.75" customHeight="1" x14ac:dyDescent="0.2">
      <c r="A57" s="1" t="s">
        <v>34</v>
      </c>
      <c r="B57" s="10" t="s">
        <v>65</v>
      </c>
      <c r="C57" s="14">
        <v>0.01</v>
      </c>
      <c r="D57" s="7">
        <f t="shared" si="0"/>
        <v>13.5425</v>
      </c>
    </row>
    <row r="58" spans="1:4" ht="12.75" customHeight="1" x14ac:dyDescent="0.2">
      <c r="A58" s="1" t="s">
        <v>36</v>
      </c>
      <c r="B58" s="10" t="s">
        <v>66</v>
      </c>
      <c r="C58" s="14">
        <v>6.0000000000000001E-3</v>
      </c>
      <c r="D58" s="7">
        <f t="shared" si="0"/>
        <v>8.1255000000000006</v>
      </c>
    </row>
    <row r="59" spans="1:4" ht="12.75" customHeight="1" x14ac:dyDescent="0.2">
      <c r="A59" s="1" t="s">
        <v>38</v>
      </c>
      <c r="B59" s="10" t="s">
        <v>67</v>
      </c>
      <c r="C59" s="14">
        <v>2E-3</v>
      </c>
      <c r="D59" s="7">
        <f t="shared" si="0"/>
        <v>2.7084999999999999</v>
      </c>
    </row>
    <row r="60" spans="1:4" ht="12.75" customHeight="1" x14ac:dyDescent="0.2">
      <c r="A60" s="1" t="s">
        <v>40</v>
      </c>
      <c r="B60" s="10" t="s">
        <v>68</v>
      </c>
      <c r="C60" s="14">
        <v>0.08</v>
      </c>
      <c r="D60" s="7">
        <f t="shared" si="0"/>
        <v>108.34</v>
      </c>
    </row>
    <row r="61" spans="1:4" ht="12.75" customHeight="1" x14ac:dyDescent="0.2">
      <c r="A61" s="8"/>
      <c r="B61" s="13" t="s">
        <v>69</v>
      </c>
      <c r="C61" s="15">
        <f t="shared" ref="C61:D61" si="1">SUM(C53:C60)</f>
        <v>0.39800000000000008</v>
      </c>
      <c r="D61" s="9">
        <f t="shared" si="1"/>
        <v>538.99149999999997</v>
      </c>
    </row>
    <row r="62" spans="1:4" ht="12.75" customHeight="1" x14ac:dyDescent="0.2">
      <c r="A62" s="108"/>
      <c r="B62" s="82"/>
      <c r="C62" s="82"/>
      <c r="D62" s="83"/>
    </row>
    <row r="63" spans="1:4" ht="12.75" customHeight="1" x14ac:dyDescent="0.2">
      <c r="A63" s="106" t="s">
        <v>70</v>
      </c>
      <c r="B63" s="82"/>
      <c r="C63" s="82"/>
      <c r="D63" s="83"/>
    </row>
    <row r="64" spans="1:4" ht="12.75" customHeight="1" x14ac:dyDescent="0.2">
      <c r="A64" s="5" t="s">
        <v>71</v>
      </c>
      <c r="B64" s="101" t="s">
        <v>72</v>
      </c>
      <c r="C64" s="83"/>
      <c r="D64" s="5" t="s">
        <v>29</v>
      </c>
    </row>
    <row r="65" spans="1:4" ht="12.75" customHeight="1" x14ac:dyDescent="0.2">
      <c r="A65" s="1" t="s">
        <v>5</v>
      </c>
      <c r="B65" s="104" t="s">
        <v>73</v>
      </c>
      <c r="C65" s="83"/>
      <c r="D65" s="16">
        <v>60</v>
      </c>
    </row>
    <row r="66" spans="1:4" ht="16.5" customHeight="1" x14ac:dyDescent="0.2">
      <c r="A66" s="1" t="s">
        <v>7</v>
      </c>
      <c r="B66" s="104" t="s">
        <v>74</v>
      </c>
      <c r="C66" s="83"/>
      <c r="D66" s="6">
        <f>(16*21.083)-(16*21.083)*0.05</f>
        <v>320.46159999999998</v>
      </c>
    </row>
    <row r="67" spans="1:4" ht="24" customHeight="1" x14ac:dyDescent="0.2">
      <c r="A67" s="1" t="s">
        <v>10</v>
      </c>
      <c r="B67" s="104" t="s">
        <v>75</v>
      </c>
      <c r="C67" s="83"/>
      <c r="D67" s="6">
        <v>0</v>
      </c>
    </row>
    <row r="68" spans="1:4" ht="16.5" customHeight="1" x14ac:dyDescent="0.2">
      <c r="A68" s="1" t="s">
        <v>13</v>
      </c>
      <c r="B68" s="104" t="s">
        <v>76</v>
      </c>
      <c r="C68" s="83"/>
      <c r="D68" s="6">
        <v>0</v>
      </c>
    </row>
    <row r="69" spans="1:4" ht="27" customHeight="1" x14ac:dyDescent="0.2">
      <c r="A69" s="1" t="s">
        <v>34</v>
      </c>
      <c r="B69" s="104" t="s">
        <v>77</v>
      </c>
      <c r="C69" s="83"/>
      <c r="D69" s="6">
        <f>4.2+10.2+13+10.2+11.4</f>
        <v>48.999999999999993</v>
      </c>
    </row>
    <row r="70" spans="1:4" ht="27" customHeight="1" x14ac:dyDescent="0.2">
      <c r="A70" s="1" t="s">
        <v>36</v>
      </c>
      <c r="B70" s="104" t="s">
        <v>78</v>
      </c>
      <c r="C70" s="83"/>
      <c r="D70" s="6">
        <v>120</v>
      </c>
    </row>
    <row r="71" spans="1:4" ht="16.5" customHeight="1" x14ac:dyDescent="0.2">
      <c r="A71" s="1" t="s">
        <v>38</v>
      </c>
      <c r="B71" s="104" t="s">
        <v>79</v>
      </c>
      <c r="C71" s="83"/>
      <c r="D71" s="7">
        <v>0</v>
      </c>
    </row>
    <row r="72" spans="1:4" ht="16.5" customHeight="1" x14ac:dyDescent="0.2">
      <c r="A72" s="101" t="s">
        <v>80</v>
      </c>
      <c r="B72" s="82"/>
      <c r="C72" s="83"/>
      <c r="D72" s="9">
        <f>SUM(D65:D71)</f>
        <v>549.46159999999998</v>
      </c>
    </row>
    <row r="73" spans="1:4" ht="44.25" customHeight="1" x14ac:dyDescent="0.2">
      <c r="A73" s="104" t="s">
        <v>81</v>
      </c>
      <c r="B73" s="82"/>
      <c r="C73" s="82"/>
      <c r="D73" s="83"/>
    </row>
    <row r="74" spans="1:4" ht="16.5" customHeight="1" x14ac:dyDescent="0.2">
      <c r="A74" s="106" t="s">
        <v>82</v>
      </c>
      <c r="B74" s="82"/>
      <c r="C74" s="82"/>
      <c r="D74" s="83"/>
    </row>
    <row r="75" spans="1:4" ht="12.75" customHeight="1" x14ac:dyDescent="0.2">
      <c r="A75" s="5">
        <v>2</v>
      </c>
      <c r="B75" s="101" t="s">
        <v>83</v>
      </c>
      <c r="C75" s="83"/>
      <c r="D75" s="5" t="s">
        <v>29</v>
      </c>
    </row>
    <row r="76" spans="1:4" ht="12.75" customHeight="1" x14ac:dyDescent="0.2">
      <c r="A76" s="1" t="s">
        <v>48</v>
      </c>
      <c r="B76" s="104" t="s">
        <v>49</v>
      </c>
      <c r="C76" s="83"/>
      <c r="D76" s="7">
        <f>D49</f>
        <v>210.33913065000002</v>
      </c>
    </row>
    <row r="77" spans="1:4" ht="16.5" customHeight="1" x14ac:dyDescent="0.2">
      <c r="A77" s="1" t="s">
        <v>58</v>
      </c>
      <c r="B77" s="104" t="s">
        <v>59</v>
      </c>
      <c r="C77" s="83"/>
      <c r="D77" s="7">
        <f>D61</f>
        <v>538.99149999999997</v>
      </c>
    </row>
    <row r="78" spans="1:4" ht="16.5" customHeight="1" x14ac:dyDescent="0.2">
      <c r="A78" s="1" t="s">
        <v>71</v>
      </c>
      <c r="B78" s="104" t="s">
        <v>72</v>
      </c>
      <c r="C78" s="83"/>
      <c r="D78" s="7">
        <f>D72</f>
        <v>549.46159999999998</v>
      </c>
    </row>
    <row r="79" spans="1:4" ht="16.5" customHeight="1" x14ac:dyDescent="0.2">
      <c r="A79" s="101" t="s">
        <v>84</v>
      </c>
      <c r="B79" s="82"/>
      <c r="C79" s="83"/>
      <c r="D79" s="9">
        <f>SUM(D76:D78)</f>
        <v>1298.79223065</v>
      </c>
    </row>
    <row r="80" spans="1:4" ht="12.75" customHeight="1" x14ac:dyDescent="0.2">
      <c r="A80" s="108"/>
      <c r="B80" s="82"/>
      <c r="C80" s="82"/>
      <c r="D80" s="83"/>
    </row>
    <row r="81" spans="1:4" ht="16.5" customHeight="1" x14ac:dyDescent="0.2">
      <c r="A81" s="105" t="s">
        <v>85</v>
      </c>
      <c r="B81" s="82"/>
      <c r="C81" s="82"/>
      <c r="D81" s="83"/>
    </row>
    <row r="82" spans="1:4" ht="12.75" customHeight="1" x14ac:dyDescent="0.2">
      <c r="A82" s="5">
        <v>3</v>
      </c>
      <c r="B82" s="101" t="s">
        <v>86</v>
      </c>
      <c r="C82" s="83"/>
      <c r="D82" s="5" t="s">
        <v>29</v>
      </c>
    </row>
    <row r="83" spans="1:4" ht="66.75" customHeight="1" x14ac:dyDescent="0.2">
      <c r="A83" s="1" t="s">
        <v>5</v>
      </c>
      <c r="B83" s="104" t="s">
        <v>163</v>
      </c>
      <c r="C83" s="83"/>
      <c r="D83" s="7">
        <f>ROUND((($D$39/12)+($D$45/12)+($D$39/12/12)+($D$46/12))*(30/30)*0.05,2)</f>
        <v>6.74</v>
      </c>
    </row>
    <row r="84" spans="1:4" ht="26.25" customHeight="1" x14ac:dyDescent="0.2">
      <c r="A84" s="1" t="s">
        <v>7</v>
      </c>
      <c r="B84" s="104" t="s">
        <v>164</v>
      </c>
      <c r="C84" s="83"/>
      <c r="D84" s="7">
        <f>(D83*C60)</f>
        <v>0.53920000000000001</v>
      </c>
    </row>
    <row r="85" spans="1:4" ht="12.75" customHeight="1" x14ac:dyDescent="0.2">
      <c r="A85" s="1" t="s">
        <v>10</v>
      </c>
      <c r="B85" s="17" t="s">
        <v>165</v>
      </c>
      <c r="C85" s="11" t="s">
        <v>51</v>
      </c>
      <c r="D85" s="6">
        <f>ROUND(0.08*0.4*($D$39+$D$45+$D$46+$D$96)*0.05,2)</f>
        <v>2.62</v>
      </c>
    </row>
    <row r="86" spans="1:4" ht="26.25" customHeight="1" x14ac:dyDescent="0.2">
      <c r="A86" s="1" t="s">
        <v>13</v>
      </c>
      <c r="B86" s="104" t="s">
        <v>166</v>
      </c>
      <c r="C86" s="83"/>
      <c r="D86" s="7">
        <f>D39*0.0194</f>
        <v>26.272449999999999</v>
      </c>
    </row>
    <row r="87" spans="1:4" ht="30.75" customHeight="1" x14ac:dyDescent="0.2">
      <c r="A87" s="1" t="s">
        <v>34</v>
      </c>
      <c r="B87" s="104" t="s">
        <v>167</v>
      </c>
      <c r="C87" s="83"/>
      <c r="D87" s="7">
        <f>D86*C61</f>
        <v>10.456435100000002</v>
      </c>
    </row>
    <row r="88" spans="1:4" ht="30.75" customHeight="1" x14ac:dyDescent="0.2">
      <c r="A88" s="1" t="s">
        <v>36</v>
      </c>
      <c r="B88" s="17" t="s">
        <v>168</v>
      </c>
      <c r="C88" s="11" t="s">
        <v>51</v>
      </c>
      <c r="D88" s="7">
        <f>ROUND(0.08*0.4*($D$39+$D$45+$D$46+$D$96)*1,2)</f>
        <v>52.46</v>
      </c>
    </row>
    <row r="89" spans="1:4" ht="12.75" customHeight="1" x14ac:dyDescent="0.2">
      <c r="A89" s="101" t="s">
        <v>93</v>
      </c>
      <c r="B89" s="82"/>
      <c r="C89" s="83"/>
      <c r="D89" s="9">
        <f>SUM(D83+D84+D85+D86+D87+D88)</f>
        <v>99.088085100000001</v>
      </c>
    </row>
    <row r="90" spans="1:4" ht="12.75" customHeight="1" x14ac:dyDescent="0.2">
      <c r="A90" s="108"/>
      <c r="B90" s="82"/>
      <c r="C90" s="82"/>
      <c r="D90" s="83"/>
    </row>
    <row r="91" spans="1:4" ht="16.5" customHeight="1" x14ac:dyDescent="0.2">
      <c r="A91" s="105" t="s">
        <v>94</v>
      </c>
      <c r="B91" s="82"/>
      <c r="C91" s="82"/>
      <c r="D91" s="83"/>
    </row>
    <row r="92" spans="1:4" ht="39.75" customHeight="1" x14ac:dyDescent="0.2">
      <c r="A92" s="117" t="s">
        <v>95</v>
      </c>
      <c r="B92" s="82"/>
      <c r="C92" s="82"/>
      <c r="D92" s="83"/>
    </row>
    <row r="93" spans="1:4" ht="47.25" customHeight="1" x14ac:dyDescent="0.2">
      <c r="A93" s="118" t="s">
        <v>96</v>
      </c>
      <c r="B93" s="82"/>
      <c r="C93" s="83"/>
      <c r="D93" s="18">
        <f>ROUND(D39/12,2)+D39+D45+D46</f>
        <v>1617.5571749999999</v>
      </c>
    </row>
    <row r="94" spans="1:4" ht="12.75" customHeight="1" x14ac:dyDescent="0.2">
      <c r="A94" s="103" t="s">
        <v>97</v>
      </c>
      <c r="B94" s="82"/>
      <c r="C94" s="82"/>
      <c r="D94" s="83"/>
    </row>
    <row r="95" spans="1:4" ht="12.75" customHeight="1" x14ac:dyDescent="0.2">
      <c r="A95" s="5" t="s">
        <v>98</v>
      </c>
      <c r="B95" s="101" t="s">
        <v>99</v>
      </c>
      <c r="C95" s="83"/>
      <c r="D95" s="5" t="s">
        <v>29</v>
      </c>
    </row>
    <row r="96" spans="1:4" ht="12.75" customHeight="1" x14ac:dyDescent="0.2">
      <c r="A96" s="1" t="s">
        <v>5</v>
      </c>
      <c r="B96" s="104" t="s">
        <v>169</v>
      </c>
      <c r="C96" s="83"/>
      <c r="D96" s="7">
        <f>D93*0.0833</f>
        <v>134.7425126775</v>
      </c>
    </row>
    <row r="97" spans="1:4" ht="16.5" customHeight="1" x14ac:dyDescent="0.2">
      <c r="A97" s="1" t="s">
        <v>7</v>
      </c>
      <c r="B97" s="104" t="s">
        <v>170</v>
      </c>
      <c r="C97" s="83"/>
      <c r="D97" s="7">
        <f>($D$93/30/12)*1</f>
        <v>4.493214375</v>
      </c>
    </row>
    <row r="98" spans="1:4" ht="16.5" customHeight="1" x14ac:dyDescent="0.2">
      <c r="A98" s="1" t="s">
        <v>10</v>
      </c>
      <c r="B98" s="104" t="s">
        <v>171</v>
      </c>
      <c r="C98" s="83"/>
      <c r="D98" s="7">
        <f>(($D$93/30/12)*5)*0.015</f>
        <v>0.33699107812500001</v>
      </c>
    </row>
    <row r="99" spans="1:4" ht="16.5" customHeight="1" x14ac:dyDescent="0.2">
      <c r="A99" s="1" t="s">
        <v>13</v>
      </c>
      <c r="B99" s="104" t="s">
        <v>172</v>
      </c>
      <c r="C99" s="83"/>
      <c r="D99" s="7">
        <f>(($D$93/30/12)*30)*0.08</f>
        <v>10.7837145</v>
      </c>
    </row>
    <row r="100" spans="1:4" ht="16.5" customHeight="1" x14ac:dyDescent="0.2">
      <c r="A100" s="1" t="s">
        <v>34</v>
      </c>
      <c r="B100" s="104" t="s">
        <v>173</v>
      </c>
      <c r="C100" s="83"/>
      <c r="D100" s="7">
        <f>(($D$93/30/12)*5)*0.4</f>
        <v>8.98642875</v>
      </c>
    </row>
    <row r="101" spans="1:4" ht="24.75" customHeight="1" x14ac:dyDescent="0.2">
      <c r="A101" s="1" t="s">
        <v>36</v>
      </c>
      <c r="B101" s="104" t="s">
        <v>174</v>
      </c>
      <c r="C101" s="83"/>
      <c r="D101" s="6">
        <f>(D96+D97+D98+D99+D100)*C61</f>
        <v>63.418458829488763</v>
      </c>
    </row>
    <row r="102" spans="1:4" ht="41.25" customHeight="1" x14ac:dyDescent="0.2">
      <c r="A102" s="1" t="s">
        <v>38</v>
      </c>
      <c r="B102" s="17" t="s">
        <v>175</v>
      </c>
      <c r="C102" s="11" t="s">
        <v>51</v>
      </c>
      <c r="D102" s="7">
        <f>(((D39+(D39/3))*(4/12))/12)*0.02</f>
        <v>1.0031481481481483</v>
      </c>
    </row>
    <row r="103" spans="1:4" ht="46.5" customHeight="1" x14ac:dyDescent="0.2">
      <c r="A103" s="1" t="s">
        <v>40</v>
      </c>
      <c r="B103" s="17" t="s">
        <v>176</v>
      </c>
      <c r="C103" s="11" t="s">
        <v>51</v>
      </c>
      <c r="D103" s="7">
        <f>D102*C61</f>
        <v>0.39925296296296314</v>
      </c>
    </row>
    <row r="104" spans="1:4" ht="39" customHeight="1" x14ac:dyDescent="0.2">
      <c r="A104" s="1" t="s">
        <v>42</v>
      </c>
      <c r="B104" s="17" t="s">
        <v>177</v>
      </c>
      <c r="C104" s="11" t="s">
        <v>51</v>
      </c>
      <c r="D104" s="7">
        <f>(((D39+(D39/12))*(4/12))*0.02)*C61</f>
        <v>3.8927163888888896</v>
      </c>
    </row>
    <row r="105" spans="1:4" ht="12.75" customHeight="1" x14ac:dyDescent="0.2">
      <c r="A105" s="101" t="s">
        <v>109</v>
      </c>
      <c r="B105" s="82"/>
      <c r="C105" s="83"/>
      <c r="D105" s="9">
        <f>SUM(D96:D104)</f>
        <v>228.05643771011378</v>
      </c>
    </row>
    <row r="106" spans="1:4" ht="12.75" customHeight="1" x14ac:dyDescent="0.2">
      <c r="A106" s="108"/>
      <c r="B106" s="82"/>
      <c r="C106" s="82"/>
      <c r="D106" s="83"/>
    </row>
    <row r="107" spans="1:4" ht="16.5" customHeight="1" x14ac:dyDescent="0.2">
      <c r="A107" s="106" t="s">
        <v>110</v>
      </c>
      <c r="B107" s="82"/>
      <c r="C107" s="82"/>
      <c r="D107" s="83"/>
    </row>
    <row r="108" spans="1:4" ht="12.75" customHeight="1" x14ac:dyDescent="0.2">
      <c r="A108" s="5" t="s">
        <v>111</v>
      </c>
      <c r="B108" s="101" t="s">
        <v>112</v>
      </c>
      <c r="C108" s="83"/>
      <c r="D108" s="5" t="s">
        <v>29</v>
      </c>
    </row>
    <row r="109" spans="1:4" ht="12.75" customHeight="1" x14ac:dyDescent="0.2">
      <c r="A109" s="1" t="s">
        <v>5</v>
      </c>
      <c r="B109" s="104" t="s">
        <v>113</v>
      </c>
      <c r="C109" s="83"/>
      <c r="D109" s="7">
        <v>0</v>
      </c>
    </row>
    <row r="110" spans="1:4" ht="12.75" customHeight="1" x14ac:dyDescent="0.2">
      <c r="A110" s="101" t="s">
        <v>114</v>
      </c>
      <c r="B110" s="82"/>
      <c r="C110" s="83"/>
      <c r="D110" s="9">
        <f>SUM(D109)</f>
        <v>0</v>
      </c>
    </row>
    <row r="111" spans="1:4" ht="12.75" customHeight="1" x14ac:dyDescent="0.2">
      <c r="A111" s="108"/>
      <c r="B111" s="82"/>
      <c r="C111" s="82"/>
      <c r="D111" s="83"/>
    </row>
    <row r="112" spans="1:4" ht="15.75" customHeight="1" x14ac:dyDescent="0.2">
      <c r="A112" s="106" t="s">
        <v>115</v>
      </c>
      <c r="B112" s="82"/>
      <c r="C112" s="82"/>
      <c r="D112" s="83"/>
    </row>
    <row r="113" spans="1:4" ht="12.75" customHeight="1" x14ac:dyDescent="0.2">
      <c r="A113" s="5">
        <v>4</v>
      </c>
      <c r="B113" s="101" t="s">
        <v>83</v>
      </c>
      <c r="C113" s="83"/>
      <c r="D113" s="5" t="s">
        <v>29</v>
      </c>
    </row>
    <row r="114" spans="1:4" ht="12.75" customHeight="1" x14ac:dyDescent="0.2">
      <c r="A114" s="1" t="s">
        <v>98</v>
      </c>
      <c r="B114" s="104" t="s">
        <v>116</v>
      </c>
      <c r="C114" s="83"/>
      <c r="D114" s="7">
        <f>D105</f>
        <v>228.05643771011378</v>
      </c>
    </row>
    <row r="115" spans="1:4" ht="16.5" customHeight="1" x14ac:dyDescent="0.2">
      <c r="A115" s="1" t="s">
        <v>111</v>
      </c>
      <c r="B115" s="104" t="s">
        <v>112</v>
      </c>
      <c r="C115" s="83"/>
      <c r="D115" s="7">
        <f>D110</f>
        <v>0</v>
      </c>
    </row>
    <row r="116" spans="1:4" ht="16.5" customHeight="1" x14ac:dyDescent="0.2">
      <c r="A116" s="101" t="s">
        <v>84</v>
      </c>
      <c r="B116" s="82"/>
      <c r="C116" s="83"/>
      <c r="D116" s="9">
        <f>D114+D115</f>
        <v>228.05643771011378</v>
      </c>
    </row>
    <row r="117" spans="1:4" ht="12.75" customHeight="1" x14ac:dyDescent="0.2">
      <c r="A117" s="108"/>
      <c r="B117" s="82"/>
      <c r="C117" s="82"/>
      <c r="D117" s="83"/>
    </row>
    <row r="118" spans="1:4" ht="16.5" customHeight="1" x14ac:dyDescent="0.2">
      <c r="A118" s="105" t="s">
        <v>117</v>
      </c>
      <c r="B118" s="82"/>
      <c r="C118" s="82"/>
      <c r="D118" s="83"/>
    </row>
    <row r="119" spans="1:4" ht="12.75" customHeight="1" x14ac:dyDescent="0.2">
      <c r="A119" s="5">
        <v>5</v>
      </c>
      <c r="B119" s="101" t="s">
        <v>118</v>
      </c>
      <c r="C119" s="83"/>
      <c r="D119" s="5" t="s">
        <v>29</v>
      </c>
    </row>
    <row r="120" spans="1:4" ht="12.75" x14ac:dyDescent="0.2">
      <c r="A120" s="1" t="s">
        <v>5</v>
      </c>
      <c r="B120" s="109" t="s">
        <v>178</v>
      </c>
      <c r="C120" s="83"/>
      <c r="D120" s="7">
        <f>'EPI E UNIFORMES'!$F$12</f>
        <v>32.770000000000003</v>
      </c>
    </row>
    <row r="121" spans="1:4" ht="38.25" customHeight="1" x14ac:dyDescent="0.2">
      <c r="A121" s="1" t="s">
        <v>7</v>
      </c>
      <c r="B121" s="109" t="s">
        <v>179</v>
      </c>
      <c r="C121" s="83"/>
      <c r="D121" s="7">
        <f>'EPI E UNIFORMES'!$F$22</f>
        <v>34.880000000000003</v>
      </c>
    </row>
    <row r="122" spans="1:4" ht="38.25" customHeight="1" x14ac:dyDescent="0.2">
      <c r="A122" s="1" t="s">
        <v>10</v>
      </c>
      <c r="B122" s="109" t="s">
        <v>180</v>
      </c>
      <c r="C122" s="83"/>
      <c r="D122" s="7">
        <f>INSUMOS!$H$77</f>
        <v>638.5</v>
      </c>
    </row>
    <row r="123" spans="1:4" ht="40.5" customHeight="1" x14ac:dyDescent="0.2">
      <c r="A123" s="1" t="s">
        <v>13</v>
      </c>
      <c r="B123" s="109" t="s">
        <v>181</v>
      </c>
      <c r="C123" s="83"/>
      <c r="D123" s="7">
        <f>EQUIPAMENTOS!$J$24</f>
        <v>63.58</v>
      </c>
    </row>
    <row r="124" spans="1:4" ht="16.5" customHeight="1" x14ac:dyDescent="0.2">
      <c r="A124" s="1" t="s">
        <v>34</v>
      </c>
      <c r="B124" s="109" t="s">
        <v>123</v>
      </c>
      <c r="C124" s="83"/>
      <c r="D124" s="6">
        <v>0</v>
      </c>
    </row>
    <row r="125" spans="1:4" ht="16.5" customHeight="1" x14ac:dyDescent="0.2">
      <c r="A125" s="101" t="s">
        <v>124</v>
      </c>
      <c r="B125" s="82"/>
      <c r="C125" s="83"/>
      <c r="D125" s="9">
        <f>SUM(D120:D124)</f>
        <v>769.73</v>
      </c>
    </row>
    <row r="126" spans="1:4" ht="12.75" customHeight="1" x14ac:dyDescent="0.2">
      <c r="A126" s="108"/>
      <c r="B126" s="82"/>
      <c r="C126" s="82"/>
      <c r="D126" s="83"/>
    </row>
    <row r="127" spans="1:4" ht="16.5" customHeight="1" x14ac:dyDescent="0.2">
      <c r="A127" s="105" t="s">
        <v>125</v>
      </c>
      <c r="B127" s="82"/>
      <c r="C127" s="82"/>
      <c r="D127" s="83"/>
    </row>
    <row r="128" spans="1:4" ht="12.75" customHeight="1" x14ac:dyDescent="0.2">
      <c r="A128" s="5">
        <v>6</v>
      </c>
      <c r="B128" s="13" t="s">
        <v>126</v>
      </c>
      <c r="C128" s="5" t="s">
        <v>127</v>
      </c>
      <c r="D128" s="11" t="s">
        <v>29</v>
      </c>
    </row>
    <row r="129" spans="1:4" ht="12.75" customHeight="1" x14ac:dyDescent="0.2">
      <c r="A129" s="1" t="s">
        <v>5</v>
      </c>
      <c r="B129" s="10" t="s">
        <v>128</v>
      </c>
      <c r="C129" s="19">
        <f>BDI!H5</f>
        <v>3.6740000000000002E-2</v>
      </c>
      <c r="D129" s="7">
        <f>D150*C129</f>
        <v>137.77194152212459</v>
      </c>
    </row>
    <row r="130" spans="1:4" ht="44.25" customHeight="1" x14ac:dyDescent="0.2">
      <c r="A130" s="104" t="s">
        <v>129</v>
      </c>
      <c r="B130" s="82"/>
      <c r="C130" s="82"/>
      <c r="D130" s="83"/>
    </row>
    <row r="131" spans="1:4" ht="12.75" customHeight="1" x14ac:dyDescent="0.2">
      <c r="A131" s="1" t="s">
        <v>7</v>
      </c>
      <c r="B131" s="10" t="s">
        <v>130</v>
      </c>
      <c r="C131" s="19">
        <f>BDI!H6</f>
        <v>3.0520000000000002E-2</v>
      </c>
      <c r="D131" s="7">
        <f>(D150+D129)*C131</f>
        <v>118.65225897085791</v>
      </c>
    </row>
    <row r="132" spans="1:4" ht="42.75" customHeight="1" x14ac:dyDescent="0.2">
      <c r="A132" s="104" t="s">
        <v>131</v>
      </c>
      <c r="B132" s="82"/>
      <c r="C132" s="82"/>
      <c r="D132" s="83"/>
    </row>
    <row r="133" spans="1:4" ht="12.75" customHeight="1" x14ac:dyDescent="0.2">
      <c r="A133" s="1" t="s">
        <v>10</v>
      </c>
      <c r="B133" s="10" t="s">
        <v>132</v>
      </c>
      <c r="C133" s="14"/>
      <c r="D133" s="1"/>
    </row>
    <row r="134" spans="1:4" ht="41.25" customHeight="1" x14ac:dyDescent="0.2">
      <c r="A134" s="104" t="s">
        <v>133</v>
      </c>
      <c r="B134" s="82"/>
      <c r="C134" s="82"/>
      <c r="D134" s="83"/>
    </row>
    <row r="135" spans="1:4" ht="12.75" customHeight="1" x14ac:dyDescent="0.2">
      <c r="A135" s="113"/>
      <c r="B135" s="10" t="s">
        <v>134</v>
      </c>
      <c r="C135" s="14"/>
      <c r="D135" s="1"/>
    </row>
    <row r="136" spans="1:4" ht="12.75" customHeight="1" x14ac:dyDescent="0.2">
      <c r="A136" s="114"/>
      <c r="B136" s="10" t="s">
        <v>135</v>
      </c>
      <c r="C136" s="14">
        <v>1.6500000000000001E-2</v>
      </c>
      <c r="D136" s="7">
        <f t="shared" ref="D136:D137" si="2">($D$129+$D$131+$D$150)/(1-($C$136+$C$137+$C$139))*C136</f>
        <v>76.201297683257749</v>
      </c>
    </row>
    <row r="137" spans="1:4" ht="12.75" customHeight="1" x14ac:dyDescent="0.2">
      <c r="A137" s="114"/>
      <c r="B137" s="10" t="s">
        <v>136</v>
      </c>
      <c r="C137" s="14">
        <v>7.5999999999999998E-2</v>
      </c>
      <c r="D137" s="7">
        <f t="shared" si="2"/>
        <v>350.9877953895508</v>
      </c>
    </row>
    <row r="138" spans="1:4" ht="12.75" customHeight="1" x14ac:dyDescent="0.2">
      <c r="A138" s="114"/>
      <c r="B138" s="10" t="s">
        <v>137</v>
      </c>
      <c r="C138" s="14"/>
      <c r="D138" s="1"/>
    </row>
    <row r="139" spans="1:4" ht="12.75" customHeight="1" x14ac:dyDescent="0.2">
      <c r="A139" s="114"/>
      <c r="B139" s="10" t="s">
        <v>138</v>
      </c>
      <c r="C139" s="110">
        <v>0.04</v>
      </c>
      <c r="D139" s="112">
        <f>($D$129+$D$131+$D$150)/(1-($C$136+$C$137+$C$139))*C139</f>
        <v>184.73041862607937</v>
      </c>
    </row>
    <row r="140" spans="1:4" ht="12.75" customHeight="1" x14ac:dyDescent="0.2">
      <c r="A140" s="111"/>
      <c r="B140" s="10" t="s">
        <v>139</v>
      </c>
      <c r="C140" s="111"/>
      <c r="D140" s="111"/>
    </row>
    <row r="141" spans="1:4" ht="12.75" customHeight="1" x14ac:dyDescent="0.2">
      <c r="A141" s="101" t="s">
        <v>140</v>
      </c>
      <c r="B141" s="82"/>
      <c r="C141" s="83"/>
      <c r="D141" s="20">
        <f>SUM(D129:D139)</f>
        <v>868.34371219187051</v>
      </c>
    </row>
    <row r="142" spans="1:4" ht="26.25" customHeight="1" x14ac:dyDescent="0.2">
      <c r="A142" s="116" t="s">
        <v>141</v>
      </c>
      <c r="B142" s="82"/>
      <c r="C142" s="82"/>
      <c r="D142" s="83"/>
    </row>
    <row r="143" spans="1:4" ht="12.75" customHeight="1" x14ac:dyDescent="0.2">
      <c r="A143" s="103" t="s">
        <v>142</v>
      </c>
      <c r="B143" s="82"/>
      <c r="C143" s="82"/>
      <c r="D143" s="83"/>
    </row>
    <row r="144" spans="1:4" ht="12.75" customHeight="1" x14ac:dyDescent="0.2">
      <c r="A144" s="21"/>
      <c r="B144" s="101" t="s">
        <v>143</v>
      </c>
      <c r="C144" s="83"/>
      <c r="D144" s="8" t="s">
        <v>144</v>
      </c>
    </row>
    <row r="145" spans="1:4" ht="12.75" customHeight="1" x14ac:dyDescent="0.2">
      <c r="A145" s="1" t="s">
        <v>5</v>
      </c>
      <c r="B145" s="104" t="s">
        <v>145</v>
      </c>
      <c r="C145" s="83"/>
      <c r="D145" s="7">
        <f>D39</f>
        <v>1354.25</v>
      </c>
    </row>
    <row r="146" spans="1:4" ht="12.75" customHeight="1" x14ac:dyDescent="0.2">
      <c r="A146" s="1" t="s">
        <v>7</v>
      </c>
      <c r="B146" s="104" t="s">
        <v>146</v>
      </c>
      <c r="C146" s="83"/>
      <c r="D146" s="7">
        <f>D79</f>
        <v>1298.79223065</v>
      </c>
    </row>
    <row r="147" spans="1:4" ht="26.25" customHeight="1" x14ac:dyDescent="0.2">
      <c r="A147" s="1" t="s">
        <v>10</v>
      </c>
      <c r="B147" s="104" t="s">
        <v>147</v>
      </c>
      <c r="C147" s="83"/>
      <c r="D147" s="7">
        <f>D89</f>
        <v>99.088085100000001</v>
      </c>
    </row>
    <row r="148" spans="1:4" ht="16.5" customHeight="1" x14ac:dyDescent="0.2">
      <c r="A148" s="1" t="s">
        <v>13</v>
      </c>
      <c r="B148" s="104" t="s">
        <v>148</v>
      </c>
      <c r="C148" s="83"/>
      <c r="D148" s="7">
        <f>D116</f>
        <v>228.05643771011378</v>
      </c>
    </row>
    <row r="149" spans="1:4" ht="16.5" customHeight="1" x14ac:dyDescent="0.2">
      <c r="A149" s="1" t="s">
        <v>34</v>
      </c>
      <c r="B149" s="104" t="s">
        <v>149</v>
      </c>
      <c r="C149" s="83"/>
      <c r="D149" s="7">
        <f>D125</f>
        <v>769.73</v>
      </c>
    </row>
    <row r="150" spans="1:4" ht="16.5" customHeight="1" x14ac:dyDescent="0.2">
      <c r="A150" s="107" t="s">
        <v>150</v>
      </c>
      <c r="B150" s="82"/>
      <c r="C150" s="83"/>
      <c r="D150" s="12">
        <f>SUM(D145:D149)</f>
        <v>3749.9167534601138</v>
      </c>
    </row>
    <row r="151" spans="1:4" ht="16.5" customHeight="1" x14ac:dyDescent="0.2">
      <c r="A151" s="1" t="s">
        <v>36</v>
      </c>
      <c r="B151" s="104" t="s">
        <v>151</v>
      </c>
      <c r="C151" s="83"/>
      <c r="D151" s="7">
        <f>D141</f>
        <v>868.34371219187051</v>
      </c>
    </row>
    <row r="152" spans="1:4" ht="16.5" customHeight="1" x14ac:dyDescent="0.2">
      <c r="A152" s="1" t="s">
        <v>38</v>
      </c>
      <c r="B152" s="104" t="s">
        <v>152</v>
      </c>
      <c r="C152" s="83"/>
      <c r="D152" s="7">
        <v>0</v>
      </c>
    </row>
    <row r="153" spans="1:4" ht="16.5" customHeight="1" x14ac:dyDescent="0.2">
      <c r="A153" s="115" t="s">
        <v>153</v>
      </c>
      <c r="B153" s="82"/>
      <c r="C153" s="83"/>
      <c r="D153" s="22">
        <f>SUM(D151+D150+D152)</f>
        <v>4618.2604656519843</v>
      </c>
    </row>
  </sheetData>
  <mergeCells count="127">
    <mergeCell ref="A111:D111"/>
    <mergeCell ref="A112:D112"/>
    <mergeCell ref="B113:C113"/>
    <mergeCell ref="B114:C114"/>
    <mergeCell ref="B115:C115"/>
    <mergeCell ref="A116:C116"/>
    <mergeCell ref="A117:D117"/>
    <mergeCell ref="B99:C99"/>
    <mergeCell ref="B100:C100"/>
    <mergeCell ref="B101:C101"/>
    <mergeCell ref="A105:C105"/>
    <mergeCell ref="A106:D106"/>
    <mergeCell ref="A107:D107"/>
    <mergeCell ref="B108:C108"/>
    <mergeCell ref="B109:C109"/>
    <mergeCell ref="A110:C110"/>
    <mergeCell ref="A90:D90"/>
    <mergeCell ref="A91:D91"/>
    <mergeCell ref="A92:D92"/>
    <mergeCell ref="A93:C93"/>
    <mergeCell ref="A94:D94"/>
    <mergeCell ref="B95:C95"/>
    <mergeCell ref="B96:C96"/>
    <mergeCell ref="B97:C97"/>
    <mergeCell ref="B98:C98"/>
    <mergeCell ref="A79:C79"/>
    <mergeCell ref="A80:D80"/>
    <mergeCell ref="A81:D81"/>
    <mergeCell ref="B82:C82"/>
    <mergeCell ref="B83:C83"/>
    <mergeCell ref="B84:C84"/>
    <mergeCell ref="B86:C86"/>
    <mergeCell ref="B87:C87"/>
    <mergeCell ref="A89:C89"/>
    <mergeCell ref="B148:C148"/>
    <mergeCell ref="B149:C149"/>
    <mergeCell ref="A150:C150"/>
    <mergeCell ref="B151:C151"/>
    <mergeCell ref="B152:C152"/>
    <mergeCell ref="A153:C153"/>
    <mergeCell ref="A141:C141"/>
    <mergeCell ref="A142:D142"/>
    <mergeCell ref="A143:D143"/>
    <mergeCell ref="B144:C144"/>
    <mergeCell ref="B145:C145"/>
    <mergeCell ref="B146:C146"/>
    <mergeCell ref="B147:C147"/>
    <mergeCell ref="B123:C123"/>
    <mergeCell ref="B124:C124"/>
    <mergeCell ref="C139:C140"/>
    <mergeCell ref="D139:D140"/>
    <mergeCell ref="A125:C125"/>
    <mergeCell ref="A126:D126"/>
    <mergeCell ref="A127:D127"/>
    <mergeCell ref="A130:D130"/>
    <mergeCell ref="A132:D132"/>
    <mergeCell ref="A134:D134"/>
    <mergeCell ref="A135:A140"/>
    <mergeCell ref="A50:D50"/>
    <mergeCell ref="A51:D51"/>
    <mergeCell ref="A62:D62"/>
    <mergeCell ref="A63:D63"/>
    <mergeCell ref="A118:D118"/>
    <mergeCell ref="B119:C119"/>
    <mergeCell ref="B120:C120"/>
    <mergeCell ref="B121:C121"/>
    <mergeCell ref="B122:C122"/>
    <mergeCell ref="B64:C64"/>
    <mergeCell ref="B65:C65"/>
    <mergeCell ref="B66:C66"/>
    <mergeCell ref="B67:C67"/>
    <mergeCell ref="B68:C68"/>
    <mergeCell ref="B69:C69"/>
    <mergeCell ref="B70:C70"/>
    <mergeCell ref="B71:C71"/>
    <mergeCell ref="A72:C72"/>
    <mergeCell ref="A73:D73"/>
    <mergeCell ref="A74:D74"/>
    <mergeCell ref="B75:C75"/>
    <mergeCell ref="B76:C76"/>
    <mergeCell ref="B77:C77"/>
    <mergeCell ref="B78:C78"/>
    <mergeCell ref="B38:C38"/>
    <mergeCell ref="B39:C39"/>
    <mergeCell ref="A40:D40"/>
    <mergeCell ref="A41:D41"/>
    <mergeCell ref="A42:D42"/>
    <mergeCell ref="A43:D43"/>
    <mergeCell ref="B44:C44"/>
    <mergeCell ref="A47:C47"/>
    <mergeCell ref="A49:C49"/>
    <mergeCell ref="B29:C29"/>
    <mergeCell ref="B30:C30"/>
    <mergeCell ref="B31:C31"/>
    <mergeCell ref="B32:C32"/>
    <mergeCell ref="B33:C33"/>
    <mergeCell ref="B34:C34"/>
    <mergeCell ref="B35:C35"/>
    <mergeCell ref="B36:C36"/>
    <mergeCell ref="B37:C37"/>
    <mergeCell ref="A20:D20"/>
    <mergeCell ref="A21:D21"/>
    <mergeCell ref="B22:C22"/>
    <mergeCell ref="B23:C23"/>
    <mergeCell ref="B24:C24"/>
    <mergeCell ref="B25:C25"/>
    <mergeCell ref="B26:C26"/>
    <mergeCell ref="A27:D27"/>
    <mergeCell ref="A28:D28"/>
    <mergeCell ref="B11:C11"/>
    <mergeCell ref="B12:C12"/>
    <mergeCell ref="B13:C13"/>
    <mergeCell ref="A14:D14"/>
    <mergeCell ref="A15:D15"/>
    <mergeCell ref="A16:D16"/>
    <mergeCell ref="A17:D17"/>
    <mergeCell ref="A18:D18"/>
    <mergeCell ref="A19:D19"/>
    <mergeCell ref="A1:D1"/>
    <mergeCell ref="A2:D2"/>
    <mergeCell ref="A3:D3"/>
    <mergeCell ref="A8:D8"/>
    <mergeCell ref="A4:D4"/>
    <mergeCell ref="A5:D5"/>
    <mergeCell ref="A6:D7"/>
    <mergeCell ref="A9:D9"/>
    <mergeCell ref="B10:C10"/>
  </mergeCells>
  <pageMargins left="0.25" right="0.25" top="0.75" bottom="0.75" header="0" footer="0"/>
  <pageSetup paperSize="9" fitToHeight="0" orientation="portrait"/>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7E6E6"/>
    <pageSetUpPr fitToPage="1"/>
  </sheetPr>
  <dimension ref="A1:H6"/>
  <sheetViews>
    <sheetView showGridLines="0" workbookViewId="0"/>
  </sheetViews>
  <sheetFormatPr defaultColWidth="14.42578125" defaultRowHeight="15" customHeight="1" x14ac:dyDescent="0.2"/>
  <cols>
    <col min="1" max="1" width="27.42578125" customWidth="1"/>
    <col min="2" max="2" width="14" customWidth="1"/>
    <col min="3" max="3" width="14.140625" customWidth="1"/>
    <col min="4" max="6" width="13.85546875" customWidth="1"/>
    <col min="7" max="7" width="13.5703125" customWidth="1"/>
    <col min="8" max="8" width="12" customWidth="1"/>
  </cols>
  <sheetData>
    <row r="1" spans="1:8" ht="22.5" customHeight="1" x14ac:dyDescent="0.2">
      <c r="A1" s="102" t="s">
        <v>182</v>
      </c>
      <c r="B1" s="82"/>
      <c r="C1" s="82"/>
      <c r="D1" s="82"/>
      <c r="E1" s="82"/>
      <c r="F1" s="82"/>
      <c r="G1" s="82"/>
      <c r="H1" s="83"/>
    </row>
    <row r="2" spans="1:8" ht="30" customHeight="1" x14ac:dyDescent="0.2">
      <c r="A2" s="23"/>
      <c r="B2" s="24"/>
      <c r="C2" s="23"/>
      <c r="D2" s="23"/>
      <c r="E2" s="23"/>
      <c r="F2" s="23"/>
      <c r="G2" s="23"/>
      <c r="H2" s="23"/>
    </row>
    <row r="3" spans="1:8" ht="12.75" customHeight="1" x14ac:dyDescent="0.2">
      <c r="A3" s="23"/>
      <c r="B3" s="119" t="s">
        <v>183</v>
      </c>
      <c r="C3" s="82"/>
      <c r="D3" s="82"/>
      <c r="E3" s="82"/>
      <c r="F3" s="83"/>
      <c r="G3" s="25" t="s">
        <v>184</v>
      </c>
      <c r="H3" s="23"/>
    </row>
    <row r="4" spans="1:8" ht="51" x14ac:dyDescent="0.2">
      <c r="A4" s="26" t="s">
        <v>185</v>
      </c>
      <c r="B4" s="26" t="s">
        <v>186</v>
      </c>
      <c r="C4" s="26" t="s">
        <v>187</v>
      </c>
      <c r="D4" s="26" t="s">
        <v>188</v>
      </c>
      <c r="E4" s="26" t="s">
        <v>189</v>
      </c>
      <c r="F4" s="26" t="s">
        <v>190</v>
      </c>
      <c r="G4" s="27" t="s">
        <v>191</v>
      </c>
      <c r="H4" s="26" t="s">
        <v>192</v>
      </c>
    </row>
    <row r="5" spans="1:8" ht="12.75" customHeight="1" x14ac:dyDescent="0.2">
      <c r="A5" s="28" t="s">
        <v>193</v>
      </c>
      <c r="B5" s="29">
        <v>5.0000000000000001E-3</v>
      </c>
      <c r="C5" s="29">
        <v>0.06</v>
      </c>
      <c r="D5" s="29">
        <v>8.9200000000000002E-2</v>
      </c>
      <c r="E5" s="30">
        <v>1.49E-2</v>
      </c>
      <c r="F5" s="30">
        <v>1.46E-2</v>
      </c>
      <c r="G5" s="30">
        <v>0.05</v>
      </c>
      <c r="H5" s="31">
        <f t="shared" ref="H5:H6" si="0">AVERAGE(B5:F5)</f>
        <v>3.6740000000000002E-2</v>
      </c>
    </row>
    <row r="6" spans="1:8" ht="12.75" customHeight="1" x14ac:dyDescent="0.2">
      <c r="A6" s="28" t="s">
        <v>194</v>
      </c>
      <c r="B6" s="29">
        <v>6.4999999999999997E-3</v>
      </c>
      <c r="C6" s="29">
        <v>3.4099999999999998E-2</v>
      </c>
      <c r="D6" s="29">
        <v>0.08</v>
      </c>
      <c r="E6" s="30">
        <v>1.6E-2</v>
      </c>
      <c r="F6" s="30">
        <v>1.6E-2</v>
      </c>
      <c r="G6" s="30">
        <v>8.3799999999999999E-2</v>
      </c>
      <c r="H6" s="31">
        <f t="shared" si="0"/>
        <v>3.0520000000000002E-2</v>
      </c>
    </row>
  </sheetData>
  <mergeCells count="2">
    <mergeCell ref="A1:H1"/>
    <mergeCell ref="B3:F3"/>
  </mergeCells>
  <printOptions horizontalCentered="1"/>
  <pageMargins left="0.25" right="0.25" top="0.75" bottom="0.75" header="0" footer="0"/>
  <pageSetup paperSize="9" fitToHeight="0"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7E6E6"/>
    <pageSetUpPr fitToPage="1"/>
  </sheetPr>
  <dimension ref="A1:F22"/>
  <sheetViews>
    <sheetView showGridLines="0" workbookViewId="0"/>
  </sheetViews>
  <sheetFormatPr defaultColWidth="14.42578125" defaultRowHeight="15" customHeight="1" x14ac:dyDescent="0.2"/>
  <cols>
    <col min="1" max="1" width="9.140625" customWidth="1"/>
    <col min="2" max="2" width="62.7109375" customWidth="1"/>
    <col min="3" max="3" width="11.140625" customWidth="1"/>
    <col min="4" max="4" width="14.5703125" customWidth="1"/>
    <col min="5" max="5" width="20.5703125" customWidth="1"/>
    <col min="6" max="6" width="14.7109375" customWidth="1"/>
  </cols>
  <sheetData>
    <row r="1" spans="1:6" ht="22.5" customHeight="1" x14ac:dyDescent="0.2">
      <c r="A1" s="102" t="s">
        <v>195</v>
      </c>
      <c r="B1" s="82"/>
      <c r="C1" s="82"/>
      <c r="D1" s="82"/>
      <c r="E1" s="82"/>
      <c r="F1" s="83"/>
    </row>
    <row r="2" spans="1:6" ht="12.75" x14ac:dyDescent="0.2">
      <c r="A2" s="32"/>
      <c r="B2" s="32"/>
      <c r="C2" s="32"/>
      <c r="D2" s="32"/>
      <c r="E2" s="32"/>
      <c r="F2" s="32"/>
    </row>
    <row r="3" spans="1:6" ht="18" customHeight="1" x14ac:dyDescent="0.2">
      <c r="A3" s="124" t="s">
        <v>196</v>
      </c>
      <c r="B3" s="82"/>
      <c r="C3" s="82"/>
      <c r="D3" s="82"/>
      <c r="E3" s="82"/>
      <c r="F3" s="83"/>
    </row>
    <row r="4" spans="1:6" ht="12.75" customHeight="1" x14ac:dyDescent="0.2">
      <c r="A4" s="125" t="s">
        <v>197</v>
      </c>
      <c r="B4" s="126"/>
      <c r="C4" s="126"/>
      <c r="D4" s="126"/>
      <c r="E4" s="126"/>
      <c r="F4" s="127"/>
    </row>
    <row r="5" spans="1:6" ht="39.75" customHeight="1" x14ac:dyDescent="0.2">
      <c r="A5" s="26" t="s">
        <v>198</v>
      </c>
      <c r="B5" s="26" t="s">
        <v>199</v>
      </c>
      <c r="C5" s="26" t="s">
        <v>200</v>
      </c>
      <c r="D5" s="26" t="s">
        <v>201</v>
      </c>
      <c r="E5" s="26" t="s">
        <v>202</v>
      </c>
      <c r="F5" s="26" t="s">
        <v>203</v>
      </c>
    </row>
    <row r="6" spans="1:6" ht="29.25" customHeight="1" x14ac:dyDescent="0.2">
      <c r="A6" s="33">
        <v>1</v>
      </c>
      <c r="B6" s="34" t="s">
        <v>204</v>
      </c>
      <c r="C6" s="1" t="s">
        <v>205</v>
      </c>
      <c r="D6" s="35">
        <v>4</v>
      </c>
      <c r="E6" s="36">
        <v>16.45</v>
      </c>
      <c r="F6" s="36">
        <f t="shared" ref="F6:F9" si="0">TRUNC(D6*E6,2)</f>
        <v>65.8</v>
      </c>
    </row>
    <row r="7" spans="1:6" ht="29.25" customHeight="1" x14ac:dyDescent="0.2">
      <c r="A7" s="33">
        <v>2</v>
      </c>
      <c r="B7" s="34" t="s">
        <v>206</v>
      </c>
      <c r="C7" s="1" t="s">
        <v>205</v>
      </c>
      <c r="D7" s="1">
        <v>2</v>
      </c>
      <c r="E7" s="36">
        <v>21.15</v>
      </c>
      <c r="F7" s="36">
        <f t="shared" si="0"/>
        <v>42.3</v>
      </c>
    </row>
    <row r="8" spans="1:6" ht="29.25" customHeight="1" x14ac:dyDescent="0.2">
      <c r="A8" s="33">
        <v>3</v>
      </c>
      <c r="B8" s="34" t="s">
        <v>207</v>
      </c>
      <c r="C8" s="1" t="s">
        <v>205</v>
      </c>
      <c r="D8" s="35">
        <v>4</v>
      </c>
      <c r="E8" s="36">
        <v>35.15</v>
      </c>
      <c r="F8" s="36">
        <f t="shared" si="0"/>
        <v>140.6</v>
      </c>
    </row>
    <row r="9" spans="1:6" ht="29.25" customHeight="1" x14ac:dyDescent="0.2">
      <c r="A9" s="33">
        <v>4</v>
      </c>
      <c r="B9" s="34" t="s">
        <v>208</v>
      </c>
      <c r="C9" s="1" t="s">
        <v>209</v>
      </c>
      <c r="D9" s="35">
        <v>24</v>
      </c>
      <c r="E9" s="36">
        <v>7.7</v>
      </c>
      <c r="F9" s="36">
        <f t="shared" si="0"/>
        <v>184.8</v>
      </c>
    </row>
    <row r="10" spans="1:6" ht="12.75" x14ac:dyDescent="0.2">
      <c r="A10" s="122" t="s">
        <v>210</v>
      </c>
      <c r="B10" s="82"/>
      <c r="C10" s="82"/>
      <c r="D10" s="82"/>
      <c r="E10" s="82"/>
      <c r="F10" s="37">
        <f>TRUNC(SUM(F5:F9),2)</f>
        <v>433.5</v>
      </c>
    </row>
    <row r="11" spans="1:6" ht="12.75" customHeight="1" x14ac:dyDescent="0.2">
      <c r="A11" s="122" t="s">
        <v>211</v>
      </c>
      <c r="B11" s="82"/>
      <c r="C11" s="82"/>
      <c r="D11" s="82"/>
      <c r="E11" s="82"/>
      <c r="F11" s="37">
        <f>TRUNC(F10/12,2)</f>
        <v>36.119999999999997</v>
      </c>
    </row>
    <row r="12" spans="1:6" ht="12.75" customHeight="1" x14ac:dyDescent="0.2">
      <c r="A12" s="123" t="s">
        <v>212</v>
      </c>
      <c r="B12" s="82"/>
      <c r="C12" s="82"/>
      <c r="D12" s="82"/>
      <c r="E12" s="82"/>
      <c r="F12" s="38">
        <f>TRUNC(F11-(0.0925*F11),2)</f>
        <v>32.770000000000003</v>
      </c>
    </row>
    <row r="13" spans="1:6" ht="12.75" customHeight="1" x14ac:dyDescent="0.2">
      <c r="A13" s="128"/>
      <c r="B13" s="129"/>
      <c r="C13" s="129"/>
      <c r="D13" s="129"/>
      <c r="E13" s="129"/>
      <c r="F13" s="130"/>
    </row>
    <row r="14" spans="1:6" ht="12.75" x14ac:dyDescent="0.2">
      <c r="A14" s="120" t="s">
        <v>213</v>
      </c>
      <c r="B14" s="121"/>
      <c r="C14" s="121"/>
      <c r="D14" s="121"/>
      <c r="E14" s="121"/>
      <c r="F14" s="121"/>
    </row>
    <row r="15" spans="1:6" ht="40.5" customHeight="1" x14ac:dyDescent="0.2">
      <c r="A15" s="26" t="s">
        <v>198</v>
      </c>
      <c r="B15" s="26" t="s">
        <v>199</v>
      </c>
      <c r="C15" s="26" t="s">
        <v>200</v>
      </c>
      <c r="D15" s="26" t="s">
        <v>201</v>
      </c>
      <c r="E15" s="26" t="s">
        <v>202</v>
      </c>
      <c r="F15" s="26" t="s">
        <v>203</v>
      </c>
    </row>
    <row r="16" spans="1:6" ht="38.25" x14ac:dyDescent="0.2">
      <c r="A16" s="33">
        <v>5</v>
      </c>
      <c r="B16" s="34" t="s">
        <v>214</v>
      </c>
      <c r="C16" s="1" t="s">
        <v>205</v>
      </c>
      <c r="D16" s="1">
        <v>2</v>
      </c>
      <c r="E16" s="36">
        <v>46.18</v>
      </c>
      <c r="F16" s="36">
        <f t="shared" ref="F16:F19" si="1">TRUNC(D16*E16,2)</f>
        <v>92.36</v>
      </c>
    </row>
    <row r="17" spans="1:6" ht="12.75" x14ac:dyDescent="0.2">
      <c r="A17" s="33">
        <v>6</v>
      </c>
      <c r="B17" s="39" t="s">
        <v>215</v>
      </c>
      <c r="C17" s="1" t="s">
        <v>209</v>
      </c>
      <c r="D17" s="1">
        <v>24</v>
      </c>
      <c r="E17" s="36">
        <v>9.7100000000000009</v>
      </c>
      <c r="F17" s="36">
        <f t="shared" si="1"/>
        <v>233.04</v>
      </c>
    </row>
    <row r="18" spans="1:6" ht="12.75" x14ac:dyDescent="0.2">
      <c r="A18" s="33">
        <v>7</v>
      </c>
      <c r="B18" s="39" t="s">
        <v>216</v>
      </c>
      <c r="C18" s="1" t="s">
        <v>205</v>
      </c>
      <c r="D18" s="1">
        <v>12</v>
      </c>
      <c r="E18" s="36">
        <v>4.01</v>
      </c>
      <c r="F18" s="36">
        <f t="shared" si="1"/>
        <v>48.12</v>
      </c>
    </row>
    <row r="19" spans="1:6" ht="51" x14ac:dyDescent="0.2">
      <c r="A19" s="33">
        <v>8</v>
      </c>
      <c r="B19" s="40" t="s">
        <v>217</v>
      </c>
      <c r="C19" s="1" t="s">
        <v>205</v>
      </c>
      <c r="D19" s="1">
        <v>2</v>
      </c>
      <c r="E19" s="36">
        <v>43.9</v>
      </c>
      <c r="F19" s="36">
        <f t="shared" si="1"/>
        <v>87.8</v>
      </c>
    </row>
    <row r="20" spans="1:6" ht="12.75" customHeight="1" x14ac:dyDescent="0.2">
      <c r="A20" s="122" t="s">
        <v>210</v>
      </c>
      <c r="B20" s="82"/>
      <c r="C20" s="82"/>
      <c r="D20" s="82"/>
      <c r="E20" s="82"/>
      <c r="F20" s="37">
        <f>TRUNC(SUM(F16:F19),2)</f>
        <v>461.32</v>
      </c>
    </row>
    <row r="21" spans="1:6" ht="12.75" customHeight="1" x14ac:dyDescent="0.2">
      <c r="A21" s="122" t="s">
        <v>211</v>
      </c>
      <c r="B21" s="82"/>
      <c r="C21" s="82"/>
      <c r="D21" s="82"/>
      <c r="E21" s="82"/>
      <c r="F21" s="37">
        <f>TRUNC(F20/12,2)</f>
        <v>38.44</v>
      </c>
    </row>
    <row r="22" spans="1:6" ht="12.75" customHeight="1" x14ac:dyDescent="0.2">
      <c r="A22" s="123" t="s">
        <v>212</v>
      </c>
      <c r="B22" s="82"/>
      <c r="C22" s="82"/>
      <c r="D22" s="82"/>
      <c r="E22" s="82"/>
      <c r="F22" s="38">
        <f>TRUNC(F21-(0.0925*F21),2)</f>
        <v>34.880000000000003</v>
      </c>
    </row>
  </sheetData>
  <mergeCells count="11">
    <mergeCell ref="A14:F14"/>
    <mergeCell ref="A20:E20"/>
    <mergeCell ref="A21:E21"/>
    <mergeCell ref="A22:E22"/>
    <mergeCell ref="A1:F1"/>
    <mergeCell ref="A3:F3"/>
    <mergeCell ref="A4:F4"/>
    <mergeCell ref="A10:E10"/>
    <mergeCell ref="A11:E11"/>
    <mergeCell ref="A12:E12"/>
    <mergeCell ref="A13:F13"/>
  </mergeCells>
  <pageMargins left="0.78749999999999998" right="0.39374999999999999" top="0.39374999999999999" bottom="0.39374999999999999" header="0" footer="0"/>
  <pageSetup paperSize="9" fitToHeight="0"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7E6E6"/>
    <pageSetUpPr fitToPage="1"/>
  </sheetPr>
  <dimension ref="A1:H77"/>
  <sheetViews>
    <sheetView showGridLines="0" workbookViewId="0"/>
  </sheetViews>
  <sheetFormatPr defaultColWidth="14.42578125" defaultRowHeight="15" customHeight="1" x14ac:dyDescent="0.2"/>
  <cols>
    <col min="1" max="1" width="9.140625" customWidth="1"/>
    <col min="2" max="2" width="45.85546875" customWidth="1"/>
    <col min="3" max="3" width="12.7109375" customWidth="1"/>
    <col min="4" max="4" width="16.42578125" customWidth="1"/>
    <col min="5" max="6" width="13.42578125" customWidth="1"/>
    <col min="7" max="7" width="18.85546875" customWidth="1"/>
    <col min="8" max="8" width="13.5703125" customWidth="1"/>
  </cols>
  <sheetData>
    <row r="1" spans="1:8" ht="18" x14ac:dyDescent="0.25">
      <c r="A1" s="81" t="s">
        <v>218</v>
      </c>
      <c r="B1" s="82"/>
      <c r="C1" s="82"/>
      <c r="D1" s="82"/>
      <c r="E1" s="82"/>
      <c r="F1" s="82"/>
      <c r="G1" s="82"/>
      <c r="H1" s="83"/>
    </row>
    <row r="2" spans="1:8" ht="12.75" x14ac:dyDescent="0.2">
      <c r="A2" s="41"/>
      <c r="B2" s="32"/>
      <c r="C2" s="32"/>
      <c r="D2" s="32"/>
      <c r="E2" s="32"/>
      <c r="F2" s="32"/>
      <c r="G2" s="32"/>
      <c r="H2" s="32"/>
    </row>
    <row r="3" spans="1:8" ht="12.75" x14ac:dyDescent="0.2">
      <c r="A3" s="131" t="s">
        <v>219</v>
      </c>
      <c r="B3" s="82"/>
      <c r="C3" s="82"/>
      <c r="D3" s="82"/>
      <c r="E3" s="82"/>
      <c r="F3" s="82"/>
      <c r="G3" s="82"/>
      <c r="H3" s="83"/>
    </row>
    <row r="4" spans="1:8" ht="12.75" x14ac:dyDescent="0.2">
      <c r="A4" s="132" t="s">
        <v>220</v>
      </c>
      <c r="B4" s="132" t="s">
        <v>199</v>
      </c>
      <c r="C4" s="132" t="s">
        <v>200</v>
      </c>
      <c r="D4" s="132" t="s">
        <v>221</v>
      </c>
      <c r="E4" s="133" t="s">
        <v>222</v>
      </c>
      <c r="F4" s="83"/>
      <c r="G4" s="133" t="s">
        <v>223</v>
      </c>
      <c r="H4" s="83"/>
    </row>
    <row r="5" spans="1:8" ht="38.25" x14ac:dyDescent="0.2">
      <c r="A5" s="111"/>
      <c r="B5" s="111"/>
      <c r="C5" s="111"/>
      <c r="D5" s="111"/>
      <c r="E5" s="26" t="s">
        <v>224</v>
      </c>
      <c r="F5" s="26" t="s">
        <v>225</v>
      </c>
      <c r="G5" s="26" t="s">
        <v>226</v>
      </c>
      <c r="H5" s="26" t="s">
        <v>227</v>
      </c>
    </row>
    <row r="6" spans="1:8" ht="51" x14ac:dyDescent="0.2">
      <c r="A6" s="1">
        <v>1</v>
      </c>
      <c r="B6" s="42" t="s">
        <v>228</v>
      </c>
      <c r="C6" s="43" t="s">
        <v>229</v>
      </c>
      <c r="D6" s="44" t="s">
        <v>230</v>
      </c>
      <c r="E6" s="45">
        <v>5</v>
      </c>
      <c r="F6" s="35">
        <f t="shared" ref="F6:F40" si="0">IF(D6="MENSAL",E6*12,(IF(D6="TRIMESTRAL",E6*4,IF(D6="SEMESTRAL",E6*2,(IF(D6="ANUAL",E6,"VERIFICAR"))))))</f>
        <v>60</v>
      </c>
      <c r="G6" s="36">
        <v>7.34</v>
      </c>
      <c r="H6" s="36">
        <f t="shared" ref="H6:H40" si="1">TRUNC(F6*G6,2)</f>
        <v>440.4</v>
      </c>
    </row>
    <row r="7" spans="1:8" ht="63.75" x14ac:dyDescent="0.2">
      <c r="A7" s="1">
        <v>2</v>
      </c>
      <c r="B7" s="42" t="s">
        <v>231</v>
      </c>
      <c r="C7" s="43" t="s">
        <v>229</v>
      </c>
      <c r="D7" s="46" t="s">
        <v>230</v>
      </c>
      <c r="E7" s="47">
        <v>5</v>
      </c>
      <c r="F7" s="35">
        <f t="shared" si="0"/>
        <v>60</v>
      </c>
      <c r="G7" s="36">
        <v>34.479999999999997</v>
      </c>
      <c r="H7" s="36">
        <f t="shared" si="1"/>
        <v>2068.8000000000002</v>
      </c>
    </row>
    <row r="8" spans="1:8" ht="38.25" x14ac:dyDescent="0.2">
      <c r="A8" s="1">
        <v>3</v>
      </c>
      <c r="B8" s="42" t="s">
        <v>232</v>
      </c>
      <c r="C8" s="43" t="s">
        <v>229</v>
      </c>
      <c r="D8" s="44" t="s">
        <v>230</v>
      </c>
      <c r="E8" s="45">
        <v>2</v>
      </c>
      <c r="F8" s="35">
        <f t="shared" si="0"/>
        <v>24</v>
      </c>
      <c r="G8" s="36">
        <v>42.03</v>
      </c>
      <c r="H8" s="36">
        <f t="shared" si="1"/>
        <v>1008.72</v>
      </c>
    </row>
    <row r="9" spans="1:8" ht="38.25" x14ac:dyDescent="0.2">
      <c r="A9" s="1">
        <v>4</v>
      </c>
      <c r="B9" s="42" t="s">
        <v>233</v>
      </c>
      <c r="C9" s="43" t="s">
        <v>229</v>
      </c>
      <c r="D9" s="44" t="s">
        <v>230</v>
      </c>
      <c r="E9" s="45">
        <v>2</v>
      </c>
      <c r="F9" s="35">
        <f t="shared" si="0"/>
        <v>24</v>
      </c>
      <c r="G9" s="36">
        <v>51.96</v>
      </c>
      <c r="H9" s="36">
        <f t="shared" si="1"/>
        <v>1247.04</v>
      </c>
    </row>
    <row r="10" spans="1:8" ht="51" x14ac:dyDescent="0.2">
      <c r="A10" s="1">
        <v>5</v>
      </c>
      <c r="B10" s="42" t="s">
        <v>234</v>
      </c>
      <c r="C10" s="43" t="s">
        <v>229</v>
      </c>
      <c r="D10" s="44" t="s">
        <v>230</v>
      </c>
      <c r="E10" s="45">
        <v>2</v>
      </c>
      <c r="F10" s="35">
        <f t="shared" si="0"/>
        <v>24</v>
      </c>
      <c r="G10" s="36">
        <v>37.33</v>
      </c>
      <c r="H10" s="36">
        <f t="shared" si="1"/>
        <v>895.92</v>
      </c>
    </row>
    <row r="11" spans="1:8" ht="51" x14ac:dyDescent="0.2">
      <c r="A11" s="1">
        <v>6</v>
      </c>
      <c r="B11" s="42" t="s">
        <v>235</v>
      </c>
      <c r="C11" s="43" t="s">
        <v>236</v>
      </c>
      <c r="D11" s="46" t="s">
        <v>230</v>
      </c>
      <c r="E11" s="47">
        <v>6</v>
      </c>
      <c r="F11" s="35">
        <f t="shared" si="0"/>
        <v>72</v>
      </c>
      <c r="G11" s="36">
        <v>9.44</v>
      </c>
      <c r="H11" s="36">
        <f t="shared" si="1"/>
        <v>679.68</v>
      </c>
    </row>
    <row r="12" spans="1:8" ht="25.5" x14ac:dyDescent="0.2">
      <c r="A12" s="1">
        <v>7</v>
      </c>
      <c r="B12" s="42" t="s">
        <v>237</v>
      </c>
      <c r="C12" s="43" t="s">
        <v>229</v>
      </c>
      <c r="D12" s="46" t="s">
        <v>230</v>
      </c>
      <c r="E12" s="47">
        <v>1</v>
      </c>
      <c r="F12" s="35">
        <f t="shared" si="0"/>
        <v>12</v>
      </c>
      <c r="G12" s="36">
        <v>43.27</v>
      </c>
      <c r="H12" s="36">
        <f t="shared" si="1"/>
        <v>519.24</v>
      </c>
    </row>
    <row r="13" spans="1:8" ht="63.75" x14ac:dyDescent="0.2">
      <c r="A13" s="1">
        <v>8</v>
      </c>
      <c r="B13" s="42" t="s">
        <v>238</v>
      </c>
      <c r="C13" s="43" t="s">
        <v>239</v>
      </c>
      <c r="D13" s="46" t="s">
        <v>230</v>
      </c>
      <c r="E13" s="47">
        <v>10</v>
      </c>
      <c r="F13" s="35">
        <f t="shared" si="0"/>
        <v>120</v>
      </c>
      <c r="G13" s="36">
        <v>1.53</v>
      </c>
      <c r="H13" s="36">
        <f t="shared" si="1"/>
        <v>183.6</v>
      </c>
    </row>
    <row r="14" spans="1:8" ht="25.5" x14ac:dyDescent="0.2">
      <c r="A14" s="1">
        <v>11</v>
      </c>
      <c r="B14" s="48" t="s">
        <v>240</v>
      </c>
      <c r="C14" s="1" t="s">
        <v>200</v>
      </c>
      <c r="D14" s="1" t="s">
        <v>241</v>
      </c>
      <c r="E14" s="49">
        <v>2</v>
      </c>
      <c r="F14" s="35">
        <f t="shared" si="0"/>
        <v>8</v>
      </c>
      <c r="G14" s="36">
        <v>28.65</v>
      </c>
      <c r="H14" s="36">
        <f t="shared" si="1"/>
        <v>229.2</v>
      </c>
    </row>
    <row r="15" spans="1:8" ht="25.5" x14ac:dyDescent="0.2">
      <c r="A15" s="1">
        <v>12</v>
      </c>
      <c r="B15" s="48" t="s">
        <v>242</v>
      </c>
      <c r="C15" s="1" t="s">
        <v>200</v>
      </c>
      <c r="D15" s="1" t="s">
        <v>241</v>
      </c>
      <c r="E15" s="49">
        <v>2</v>
      </c>
      <c r="F15" s="35">
        <f t="shared" si="0"/>
        <v>8</v>
      </c>
      <c r="G15" s="36">
        <v>32.270000000000003</v>
      </c>
      <c r="H15" s="36">
        <f t="shared" si="1"/>
        <v>258.16000000000003</v>
      </c>
    </row>
    <row r="16" spans="1:8" ht="38.25" x14ac:dyDescent="0.2">
      <c r="A16" s="1">
        <v>14</v>
      </c>
      <c r="B16" s="42" t="s">
        <v>243</v>
      </c>
      <c r="C16" s="43" t="s">
        <v>244</v>
      </c>
      <c r="D16" s="46" t="s">
        <v>230</v>
      </c>
      <c r="E16" s="47">
        <v>2</v>
      </c>
      <c r="F16" s="35">
        <f t="shared" si="0"/>
        <v>24</v>
      </c>
      <c r="G16" s="36">
        <v>22.9</v>
      </c>
      <c r="H16" s="36">
        <f t="shared" si="1"/>
        <v>549.6</v>
      </c>
    </row>
    <row r="17" spans="1:8" ht="38.25" x14ac:dyDescent="0.2">
      <c r="A17" s="1">
        <v>15</v>
      </c>
      <c r="B17" s="42" t="s">
        <v>245</v>
      </c>
      <c r="C17" s="43" t="s">
        <v>246</v>
      </c>
      <c r="D17" s="46" t="s">
        <v>230</v>
      </c>
      <c r="E17" s="47">
        <v>2</v>
      </c>
      <c r="F17" s="35">
        <f t="shared" si="0"/>
        <v>24</v>
      </c>
      <c r="G17" s="36">
        <v>3.17</v>
      </c>
      <c r="H17" s="36">
        <f t="shared" si="1"/>
        <v>76.08</v>
      </c>
    </row>
    <row r="18" spans="1:8" ht="25.5" x14ac:dyDescent="0.2">
      <c r="A18" s="1">
        <v>16</v>
      </c>
      <c r="B18" s="42" t="s">
        <v>247</v>
      </c>
      <c r="C18" s="43" t="s">
        <v>200</v>
      </c>
      <c r="D18" s="46" t="s">
        <v>230</v>
      </c>
      <c r="E18" s="47">
        <v>2</v>
      </c>
      <c r="F18" s="35">
        <f t="shared" si="0"/>
        <v>24</v>
      </c>
      <c r="G18" s="36">
        <v>1.93</v>
      </c>
      <c r="H18" s="36">
        <f t="shared" si="1"/>
        <v>46.32</v>
      </c>
    </row>
    <row r="19" spans="1:8" ht="12.75" x14ac:dyDescent="0.2">
      <c r="A19" s="1">
        <v>17</v>
      </c>
      <c r="B19" s="42" t="s">
        <v>248</v>
      </c>
      <c r="C19" s="43" t="s">
        <v>249</v>
      </c>
      <c r="D19" s="46" t="s">
        <v>230</v>
      </c>
      <c r="E19" s="47">
        <v>5</v>
      </c>
      <c r="F19" s="35">
        <f t="shared" si="0"/>
        <v>60</v>
      </c>
      <c r="G19" s="36">
        <v>6.05</v>
      </c>
      <c r="H19" s="36">
        <f t="shared" si="1"/>
        <v>363</v>
      </c>
    </row>
    <row r="20" spans="1:8" ht="25.5" x14ac:dyDescent="0.2">
      <c r="A20" s="1">
        <v>18</v>
      </c>
      <c r="B20" s="42" t="s">
        <v>250</v>
      </c>
      <c r="C20" s="43" t="s">
        <v>251</v>
      </c>
      <c r="D20" s="46" t="s">
        <v>230</v>
      </c>
      <c r="E20" s="47">
        <v>5</v>
      </c>
      <c r="F20" s="35">
        <f t="shared" si="0"/>
        <v>60</v>
      </c>
      <c r="G20" s="36">
        <v>9.36</v>
      </c>
      <c r="H20" s="36">
        <f t="shared" si="1"/>
        <v>561.6</v>
      </c>
    </row>
    <row r="21" spans="1:8" ht="25.5" x14ac:dyDescent="0.2">
      <c r="A21" s="1">
        <v>20</v>
      </c>
      <c r="B21" s="42" t="s">
        <v>252</v>
      </c>
      <c r="C21" s="43" t="s">
        <v>200</v>
      </c>
      <c r="D21" s="46" t="s">
        <v>230</v>
      </c>
      <c r="E21" s="47">
        <v>15</v>
      </c>
      <c r="F21" s="35">
        <f t="shared" si="0"/>
        <v>180</v>
      </c>
      <c r="G21" s="36">
        <v>2.89</v>
      </c>
      <c r="H21" s="36">
        <f t="shared" si="1"/>
        <v>520.20000000000005</v>
      </c>
    </row>
    <row r="22" spans="1:8" ht="51" x14ac:dyDescent="0.2">
      <c r="A22" s="1">
        <v>21</v>
      </c>
      <c r="B22" s="42" t="s">
        <v>253</v>
      </c>
      <c r="C22" s="43" t="s">
        <v>254</v>
      </c>
      <c r="D22" s="46" t="s">
        <v>230</v>
      </c>
      <c r="E22" s="47">
        <v>5</v>
      </c>
      <c r="F22" s="35">
        <f t="shared" si="0"/>
        <v>60</v>
      </c>
      <c r="G22" s="36">
        <v>37.65</v>
      </c>
      <c r="H22" s="36">
        <f t="shared" si="1"/>
        <v>2259</v>
      </c>
    </row>
    <row r="23" spans="1:8" ht="63.75" x14ac:dyDescent="0.2">
      <c r="A23" s="1">
        <v>22</v>
      </c>
      <c r="B23" s="42" t="s">
        <v>255</v>
      </c>
      <c r="C23" s="43" t="s">
        <v>256</v>
      </c>
      <c r="D23" s="46" t="s">
        <v>230</v>
      </c>
      <c r="E23" s="47">
        <v>15</v>
      </c>
      <c r="F23" s="35">
        <f t="shared" si="0"/>
        <v>180</v>
      </c>
      <c r="G23" s="36">
        <v>12.93</v>
      </c>
      <c r="H23" s="36">
        <f t="shared" si="1"/>
        <v>2327.4</v>
      </c>
    </row>
    <row r="24" spans="1:8" ht="25.5" x14ac:dyDescent="0.2">
      <c r="A24" s="1">
        <v>23</v>
      </c>
      <c r="B24" s="42" t="s">
        <v>257</v>
      </c>
      <c r="C24" s="43" t="s">
        <v>200</v>
      </c>
      <c r="D24" s="46" t="s">
        <v>241</v>
      </c>
      <c r="E24" s="47">
        <v>2</v>
      </c>
      <c r="F24" s="35">
        <f t="shared" si="0"/>
        <v>8</v>
      </c>
      <c r="G24" s="36">
        <v>12.01</v>
      </c>
      <c r="H24" s="36">
        <f t="shared" si="1"/>
        <v>96.08</v>
      </c>
    </row>
    <row r="25" spans="1:8" ht="25.5" x14ac:dyDescent="0.2">
      <c r="A25" s="1">
        <v>24</v>
      </c>
      <c r="B25" s="42" t="s">
        <v>258</v>
      </c>
      <c r="C25" s="43" t="s">
        <v>200</v>
      </c>
      <c r="D25" s="46" t="s">
        <v>241</v>
      </c>
      <c r="E25" s="47">
        <v>2</v>
      </c>
      <c r="F25" s="35">
        <f t="shared" si="0"/>
        <v>8</v>
      </c>
      <c r="G25" s="36">
        <v>17.38</v>
      </c>
      <c r="H25" s="36">
        <f t="shared" si="1"/>
        <v>139.04</v>
      </c>
    </row>
    <row r="26" spans="1:8" ht="25.5" x14ac:dyDescent="0.2">
      <c r="A26" s="1">
        <v>25</v>
      </c>
      <c r="B26" s="42" t="s">
        <v>259</v>
      </c>
      <c r="C26" s="43" t="s">
        <v>200</v>
      </c>
      <c r="D26" s="46" t="s">
        <v>241</v>
      </c>
      <c r="E26" s="47">
        <v>2</v>
      </c>
      <c r="F26" s="35">
        <f t="shared" si="0"/>
        <v>8</v>
      </c>
      <c r="G26" s="36">
        <v>14.07</v>
      </c>
      <c r="H26" s="36">
        <f t="shared" si="1"/>
        <v>112.56</v>
      </c>
    </row>
    <row r="27" spans="1:8" ht="38.25" x14ac:dyDescent="0.2">
      <c r="A27" s="1">
        <v>26</v>
      </c>
      <c r="B27" s="42" t="s">
        <v>260</v>
      </c>
      <c r="C27" s="43" t="s">
        <v>200</v>
      </c>
      <c r="D27" s="46" t="s">
        <v>241</v>
      </c>
      <c r="E27" s="47">
        <v>2</v>
      </c>
      <c r="F27" s="35">
        <f t="shared" si="0"/>
        <v>8</v>
      </c>
      <c r="G27" s="36">
        <v>8.77</v>
      </c>
      <c r="H27" s="36">
        <f t="shared" si="1"/>
        <v>70.16</v>
      </c>
    </row>
    <row r="28" spans="1:8" ht="12.75" x14ac:dyDescent="0.2">
      <c r="A28" s="1">
        <v>27</v>
      </c>
      <c r="B28" s="50" t="s">
        <v>261</v>
      </c>
      <c r="C28" s="43" t="s">
        <v>200</v>
      </c>
      <c r="D28" s="46" t="s">
        <v>230</v>
      </c>
      <c r="E28" s="47">
        <v>2</v>
      </c>
      <c r="F28" s="35">
        <f t="shared" si="0"/>
        <v>24</v>
      </c>
      <c r="G28" s="36">
        <v>13.9</v>
      </c>
      <c r="H28" s="36">
        <f t="shared" si="1"/>
        <v>333.6</v>
      </c>
    </row>
    <row r="29" spans="1:8" ht="12.75" x14ac:dyDescent="0.2">
      <c r="A29" s="1">
        <v>28</v>
      </c>
      <c r="B29" s="51" t="s">
        <v>262</v>
      </c>
      <c r="C29" s="43" t="s">
        <v>200</v>
      </c>
      <c r="D29" s="46" t="s">
        <v>230</v>
      </c>
      <c r="E29" s="47">
        <v>2</v>
      </c>
      <c r="F29" s="35">
        <f t="shared" si="0"/>
        <v>24</v>
      </c>
      <c r="G29" s="36">
        <v>24.27</v>
      </c>
      <c r="H29" s="36">
        <f t="shared" si="1"/>
        <v>582.48</v>
      </c>
    </row>
    <row r="30" spans="1:8" ht="38.25" x14ac:dyDescent="0.2">
      <c r="A30" s="1">
        <v>29</v>
      </c>
      <c r="B30" s="42" t="s">
        <v>263</v>
      </c>
      <c r="C30" s="43" t="s">
        <v>264</v>
      </c>
      <c r="D30" s="46" t="s">
        <v>230</v>
      </c>
      <c r="E30" s="47">
        <v>2</v>
      </c>
      <c r="F30" s="35">
        <f t="shared" si="0"/>
        <v>24</v>
      </c>
      <c r="G30" s="36">
        <v>8.4600000000000009</v>
      </c>
      <c r="H30" s="36">
        <f t="shared" si="1"/>
        <v>203.04</v>
      </c>
    </row>
    <row r="31" spans="1:8" ht="102" x14ac:dyDescent="0.2">
      <c r="A31" s="1">
        <v>30</v>
      </c>
      <c r="B31" s="42" t="s">
        <v>265</v>
      </c>
      <c r="C31" s="43" t="s">
        <v>200</v>
      </c>
      <c r="D31" s="46" t="s">
        <v>230</v>
      </c>
      <c r="E31" s="47">
        <v>2</v>
      </c>
      <c r="F31" s="35">
        <f t="shared" si="0"/>
        <v>24</v>
      </c>
      <c r="G31" s="36">
        <v>11.47</v>
      </c>
      <c r="H31" s="36">
        <f t="shared" si="1"/>
        <v>275.27999999999997</v>
      </c>
    </row>
    <row r="32" spans="1:8" ht="63.75" x14ac:dyDescent="0.2">
      <c r="A32" s="1">
        <v>31</v>
      </c>
      <c r="B32" s="42" t="s">
        <v>266</v>
      </c>
      <c r="C32" s="43" t="s">
        <v>267</v>
      </c>
      <c r="D32" s="46" t="s">
        <v>230</v>
      </c>
      <c r="E32" s="47">
        <v>2</v>
      </c>
      <c r="F32" s="35">
        <f t="shared" si="0"/>
        <v>24</v>
      </c>
      <c r="G32" s="36">
        <v>18.64</v>
      </c>
      <c r="H32" s="36">
        <f t="shared" si="1"/>
        <v>447.36</v>
      </c>
    </row>
    <row r="33" spans="1:8" ht="63.75" x14ac:dyDescent="0.2">
      <c r="A33" s="1">
        <v>32</v>
      </c>
      <c r="B33" s="42" t="s">
        <v>268</v>
      </c>
      <c r="C33" s="43" t="s">
        <v>269</v>
      </c>
      <c r="D33" s="46" t="s">
        <v>230</v>
      </c>
      <c r="E33" s="47">
        <v>1</v>
      </c>
      <c r="F33" s="35">
        <f t="shared" si="0"/>
        <v>12</v>
      </c>
      <c r="G33" s="36">
        <v>19.600000000000001</v>
      </c>
      <c r="H33" s="36">
        <f t="shared" si="1"/>
        <v>235.2</v>
      </c>
    </row>
    <row r="34" spans="1:8" ht="51" x14ac:dyDescent="0.2">
      <c r="A34" s="1">
        <v>33</v>
      </c>
      <c r="B34" s="42" t="s">
        <v>270</v>
      </c>
      <c r="C34" s="43" t="s">
        <v>269</v>
      </c>
      <c r="D34" s="46" t="s">
        <v>230</v>
      </c>
      <c r="E34" s="47">
        <v>3</v>
      </c>
      <c r="F34" s="35">
        <f t="shared" si="0"/>
        <v>36</v>
      </c>
      <c r="G34" s="36">
        <v>31.37</v>
      </c>
      <c r="H34" s="36">
        <f t="shared" si="1"/>
        <v>1129.32</v>
      </c>
    </row>
    <row r="35" spans="1:8" ht="25.5" x14ac:dyDescent="0.2">
      <c r="A35" s="1">
        <v>35</v>
      </c>
      <c r="B35" s="42" t="s">
        <v>271</v>
      </c>
      <c r="C35" s="43" t="s">
        <v>229</v>
      </c>
      <c r="D35" s="46" t="s">
        <v>230</v>
      </c>
      <c r="E35" s="47">
        <v>1</v>
      </c>
      <c r="F35" s="35">
        <f t="shared" si="0"/>
        <v>12</v>
      </c>
      <c r="G35" s="36">
        <v>96.83</v>
      </c>
      <c r="H35" s="36">
        <f t="shared" si="1"/>
        <v>1161.96</v>
      </c>
    </row>
    <row r="36" spans="1:8" ht="63.75" x14ac:dyDescent="0.2">
      <c r="A36" s="1">
        <v>36</v>
      </c>
      <c r="B36" s="42" t="s">
        <v>272</v>
      </c>
      <c r="C36" s="43" t="s">
        <v>229</v>
      </c>
      <c r="D36" s="46" t="s">
        <v>230</v>
      </c>
      <c r="E36" s="47">
        <v>2</v>
      </c>
      <c r="F36" s="35">
        <f t="shared" si="0"/>
        <v>24</v>
      </c>
      <c r="G36" s="36">
        <v>88.76</v>
      </c>
      <c r="H36" s="36">
        <f t="shared" si="1"/>
        <v>2130.2399999999998</v>
      </c>
    </row>
    <row r="37" spans="1:8" ht="51" x14ac:dyDescent="0.2">
      <c r="A37" s="1">
        <v>37</v>
      </c>
      <c r="B37" s="42" t="s">
        <v>273</v>
      </c>
      <c r="C37" s="43" t="s">
        <v>274</v>
      </c>
      <c r="D37" s="46" t="s">
        <v>230</v>
      </c>
      <c r="E37" s="47">
        <v>6</v>
      </c>
      <c r="F37" s="35">
        <f t="shared" si="0"/>
        <v>72</v>
      </c>
      <c r="G37" s="36">
        <v>4.03</v>
      </c>
      <c r="H37" s="36">
        <f t="shared" si="1"/>
        <v>290.16000000000003</v>
      </c>
    </row>
    <row r="38" spans="1:8" ht="51" x14ac:dyDescent="0.2">
      <c r="A38" s="1">
        <v>39</v>
      </c>
      <c r="B38" s="42" t="s">
        <v>275</v>
      </c>
      <c r="C38" s="43" t="s">
        <v>276</v>
      </c>
      <c r="D38" s="46" t="s">
        <v>230</v>
      </c>
      <c r="E38" s="47">
        <v>5</v>
      </c>
      <c r="F38" s="35">
        <f t="shared" si="0"/>
        <v>60</v>
      </c>
      <c r="G38" s="36">
        <v>6.07</v>
      </c>
      <c r="H38" s="36">
        <f t="shared" si="1"/>
        <v>364.2</v>
      </c>
    </row>
    <row r="39" spans="1:8" ht="25.5" x14ac:dyDescent="0.2">
      <c r="A39" s="1">
        <v>40</v>
      </c>
      <c r="B39" s="42" t="s">
        <v>277</v>
      </c>
      <c r="C39" s="43" t="s">
        <v>229</v>
      </c>
      <c r="D39" s="46" t="s">
        <v>230</v>
      </c>
      <c r="E39" s="47">
        <v>2</v>
      </c>
      <c r="F39" s="35">
        <f t="shared" si="0"/>
        <v>24</v>
      </c>
      <c r="G39" s="36">
        <v>36.93</v>
      </c>
      <c r="H39" s="36">
        <f t="shared" si="1"/>
        <v>886.32</v>
      </c>
    </row>
    <row r="40" spans="1:8" ht="25.5" x14ac:dyDescent="0.2">
      <c r="A40" s="1">
        <v>41</v>
      </c>
      <c r="B40" s="42" t="s">
        <v>278</v>
      </c>
      <c r="C40" s="43" t="s">
        <v>239</v>
      </c>
      <c r="D40" s="46" t="s">
        <v>230</v>
      </c>
      <c r="E40" s="47">
        <v>5</v>
      </c>
      <c r="F40" s="35">
        <f t="shared" si="0"/>
        <v>60</v>
      </c>
      <c r="G40" s="36">
        <v>5.49</v>
      </c>
      <c r="H40" s="36">
        <f t="shared" si="1"/>
        <v>329.4</v>
      </c>
    </row>
    <row r="41" spans="1:8" ht="12.75" x14ac:dyDescent="0.2">
      <c r="A41" s="122" t="s">
        <v>279</v>
      </c>
      <c r="B41" s="82"/>
      <c r="C41" s="82"/>
      <c r="D41" s="82"/>
      <c r="E41" s="82"/>
      <c r="F41" s="82"/>
      <c r="G41" s="83"/>
      <c r="H41" s="52">
        <f>TRUNC(SUM(H6:H40),2)</f>
        <v>23020.36</v>
      </c>
    </row>
    <row r="42" spans="1:8" ht="12.75" customHeight="1" x14ac:dyDescent="0.2">
      <c r="A42" s="131" t="s">
        <v>280</v>
      </c>
      <c r="B42" s="82"/>
      <c r="C42" s="82"/>
      <c r="D42" s="82"/>
      <c r="E42" s="82"/>
      <c r="F42" s="82"/>
      <c r="G42" s="82"/>
      <c r="H42" s="83"/>
    </row>
    <row r="43" spans="1:8" ht="12.75" customHeight="1" x14ac:dyDescent="0.2">
      <c r="A43" s="132" t="s">
        <v>220</v>
      </c>
      <c r="B43" s="132" t="s">
        <v>199</v>
      </c>
      <c r="C43" s="132" t="s">
        <v>200</v>
      </c>
      <c r="D43" s="132" t="s">
        <v>221</v>
      </c>
      <c r="E43" s="133" t="s">
        <v>222</v>
      </c>
      <c r="F43" s="83"/>
      <c r="G43" s="133" t="s">
        <v>223</v>
      </c>
      <c r="H43" s="83"/>
    </row>
    <row r="44" spans="1:8" ht="38.25" x14ac:dyDescent="0.2">
      <c r="A44" s="111"/>
      <c r="B44" s="111"/>
      <c r="C44" s="111"/>
      <c r="D44" s="111"/>
      <c r="E44" s="26" t="s">
        <v>224</v>
      </c>
      <c r="F44" s="26" t="s">
        <v>225</v>
      </c>
      <c r="G44" s="26" t="s">
        <v>226</v>
      </c>
      <c r="H44" s="26" t="s">
        <v>227</v>
      </c>
    </row>
    <row r="45" spans="1:8" ht="38.25" x14ac:dyDescent="0.2">
      <c r="A45" s="1">
        <v>42</v>
      </c>
      <c r="B45" s="34" t="s">
        <v>281</v>
      </c>
      <c r="C45" s="1" t="s">
        <v>200</v>
      </c>
      <c r="D45" s="1" t="s">
        <v>282</v>
      </c>
      <c r="E45" s="1">
        <v>4</v>
      </c>
      <c r="F45" s="35">
        <f t="shared" ref="F45:F72" si="2">IF(D45="MENSAL",E45*12,(IF(D45="TRIMESTRAL",E45*4,IF(D45="SEMESTRAL",E45*2,(IF(D45="ANUAL",E45,"VERIFICAR"))))))</f>
        <v>8</v>
      </c>
      <c r="G45" s="36">
        <v>17.34</v>
      </c>
      <c r="H45" s="36">
        <f t="shared" ref="H45:H72" si="3">TRUNC(F45*G45,2)</f>
        <v>138.72</v>
      </c>
    </row>
    <row r="46" spans="1:8" ht="12.75" x14ac:dyDescent="0.2">
      <c r="A46" s="1">
        <v>43</v>
      </c>
      <c r="B46" s="34" t="s">
        <v>283</v>
      </c>
      <c r="C46" s="1" t="s">
        <v>200</v>
      </c>
      <c r="D46" s="1" t="s">
        <v>282</v>
      </c>
      <c r="E46" s="1">
        <v>15</v>
      </c>
      <c r="F46" s="35">
        <f t="shared" si="2"/>
        <v>30</v>
      </c>
      <c r="G46" s="36">
        <v>10.5</v>
      </c>
      <c r="H46" s="36">
        <f t="shared" si="3"/>
        <v>315</v>
      </c>
    </row>
    <row r="47" spans="1:8" ht="38.25" x14ac:dyDescent="0.2">
      <c r="A47" s="1">
        <v>44</v>
      </c>
      <c r="B47" s="34" t="s">
        <v>284</v>
      </c>
      <c r="C47" s="1" t="s">
        <v>200</v>
      </c>
      <c r="D47" s="1" t="s">
        <v>282</v>
      </c>
      <c r="E47" s="1">
        <v>5</v>
      </c>
      <c r="F47" s="35">
        <f t="shared" si="2"/>
        <v>10</v>
      </c>
      <c r="G47" s="36">
        <v>6.6</v>
      </c>
      <c r="H47" s="36">
        <f t="shared" si="3"/>
        <v>66</v>
      </c>
    </row>
    <row r="48" spans="1:8" ht="51" x14ac:dyDescent="0.2">
      <c r="A48" s="1">
        <v>45</v>
      </c>
      <c r="B48" s="34" t="s">
        <v>285</v>
      </c>
      <c r="C48" s="1" t="s">
        <v>200</v>
      </c>
      <c r="D48" s="1" t="s">
        <v>282</v>
      </c>
      <c r="E48" s="1">
        <v>15</v>
      </c>
      <c r="F48" s="35">
        <f t="shared" si="2"/>
        <v>30</v>
      </c>
      <c r="G48" s="36">
        <v>19.850000000000001</v>
      </c>
      <c r="H48" s="36">
        <f t="shared" si="3"/>
        <v>595.5</v>
      </c>
    </row>
    <row r="49" spans="1:8" ht="63.75" x14ac:dyDescent="0.2">
      <c r="A49" s="1">
        <v>46</v>
      </c>
      <c r="B49" s="34" t="s">
        <v>286</v>
      </c>
      <c r="C49" s="1" t="s">
        <v>200</v>
      </c>
      <c r="D49" s="1" t="s">
        <v>282</v>
      </c>
      <c r="E49" s="1">
        <v>10</v>
      </c>
      <c r="F49" s="35">
        <f t="shared" si="2"/>
        <v>20</v>
      </c>
      <c r="G49" s="36">
        <v>26.33</v>
      </c>
      <c r="H49" s="36">
        <f t="shared" si="3"/>
        <v>526.6</v>
      </c>
    </row>
    <row r="50" spans="1:8" ht="51" x14ac:dyDescent="0.2">
      <c r="A50" s="1">
        <v>47</v>
      </c>
      <c r="B50" s="34" t="s">
        <v>287</v>
      </c>
      <c r="C50" s="1" t="s">
        <v>200</v>
      </c>
      <c r="D50" s="1" t="s">
        <v>282</v>
      </c>
      <c r="E50" s="1">
        <v>10</v>
      </c>
      <c r="F50" s="35">
        <f t="shared" si="2"/>
        <v>20</v>
      </c>
      <c r="G50" s="36">
        <v>2.09</v>
      </c>
      <c r="H50" s="36">
        <f t="shared" si="3"/>
        <v>41.8</v>
      </c>
    </row>
    <row r="51" spans="1:8" ht="25.5" x14ac:dyDescent="0.2">
      <c r="A51" s="1">
        <v>48</v>
      </c>
      <c r="B51" s="34" t="s">
        <v>288</v>
      </c>
      <c r="C51" s="1" t="s">
        <v>200</v>
      </c>
      <c r="D51" s="1" t="s">
        <v>289</v>
      </c>
      <c r="E51" s="35">
        <v>10</v>
      </c>
      <c r="F51" s="35">
        <f t="shared" si="2"/>
        <v>10</v>
      </c>
      <c r="G51" s="36">
        <v>54.95</v>
      </c>
      <c r="H51" s="36">
        <f t="shared" si="3"/>
        <v>549.5</v>
      </c>
    </row>
    <row r="52" spans="1:8" ht="12.75" x14ac:dyDescent="0.2">
      <c r="A52" s="1">
        <v>49</v>
      </c>
      <c r="B52" s="34" t="s">
        <v>290</v>
      </c>
      <c r="C52" s="1" t="s">
        <v>200</v>
      </c>
      <c r="D52" s="1" t="s">
        <v>282</v>
      </c>
      <c r="E52" s="1">
        <v>10</v>
      </c>
      <c r="F52" s="35">
        <f t="shared" si="2"/>
        <v>20</v>
      </c>
      <c r="G52" s="36">
        <v>3.99</v>
      </c>
      <c r="H52" s="36">
        <f t="shared" si="3"/>
        <v>79.8</v>
      </c>
    </row>
    <row r="53" spans="1:8" ht="12.75" x14ac:dyDescent="0.2">
      <c r="A53" s="1">
        <v>50</v>
      </c>
      <c r="B53" s="34" t="s">
        <v>291</v>
      </c>
      <c r="C53" s="1" t="s">
        <v>200</v>
      </c>
      <c r="D53" s="1" t="s">
        <v>282</v>
      </c>
      <c r="E53" s="1">
        <v>5</v>
      </c>
      <c r="F53" s="35">
        <f t="shared" si="2"/>
        <v>10</v>
      </c>
      <c r="G53" s="36">
        <v>17.68</v>
      </c>
      <c r="H53" s="36">
        <f t="shared" si="3"/>
        <v>176.8</v>
      </c>
    </row>
    <row r="54" spans="1:8" ht="25.5" x14ac:dyDescent="0.2">
      <c r="A54" s="1">
        <v>51</v>
      </c>
      <c r="B54" s="34" t="s">
        <v>292</v>
      </c>
      <c r="C54" s="1" t="s">
        <v>200</v>
      </c>
      <c r="D54" s="1" t="s">
        <v>289</v>
      </c>
      <c r="E54" s="1">
        <v>5</v>
      </c>
      <c r="F54" s="35">
        <f t="shared" si="2"/>
        <v>5</v>
      </c>
      <c r="G54" s="36">
        <v>119.7</v>
      </c>
      <c r="H54" s="36">
        <f t="shared" si="3"/>
        <v>598.5</v>
      </c>
    </row>
    <row r="55" spans="1:8" ht="25.5" x14ac:dyDescent="0.2">
      <c r="A55" s="1">
        <v>52</v>
      </c>
      <c r="B55" s="34" t="s">
        <v>293</v>
      </c>
      <c r="C55" s="1" t="s">
        <v>200</v>
      </c>
      <c r="D55" s="1" t="s">
        <v>282</v>
      </c>
      <c r="E55" s="1">
        <v>3</v>
      </c>
      <c r="F55" s="35">
        <f t="shared" si="2"/>
        <v>6</v>
      </c>
      <c r="G55" s="36">
        <v>262.35000000000002</v>
      </c>
      <c r="H55" s="36">
        <f t="shared" si="3"/>
        <v>1574.1</v>
      </c>
    </row>
    <row r="56" spans="1:8" ht="25.5" x14ac:dyDescent="0.2">
      <c r="A56" s="1">
        <v>53</v>
      </c>
      <c r="B56" s="34" t="s">
        <v>294</v>
      </c>
      <c r="C56" s="1" t="s">
        <v>200</v>
      </c>
      <c r="D56" s="1" t="s">
        <v>282</v>
      </c>
      <c r="E56" s="1">
        <v>5</v>
      </c>
      <c r="F56" s="35">
        <f t="shared" si="2"/>
        <v>10</v>
      </c>
      <c r="G56" s="36">
        <v>15.54</v>
      </c>
      <c r="H56" s="36">
        <f t="shared" si="3"/>
        <v>155.4</v>
      </c>
    </row>
    <row r="57" spans="1:8" ht="25.5" x14ac:dyDescent="0.2">
      <c r="A57" s="1">
        <v>54</v>
      </c>
      <c r="B57" s="34" t="s">
        <v>295</v>
      </c>
      <c r="C57" s="1" t="s">
        <v>200</v>
      </c>
      <c r="D57" s="1" t="s">
        <v>282</v>
      </c>
      <c r="E57" s="1">
        <v>5</v>
      </c>
      <c r="F57" s="35">
        <f t="shared" si="2"/>
        <v>10</v>
      </c>
      <c r="G57" s="36">
        <v>9.76</v>
      </c>
      <c r="H57" s="36">
        <f t="shared" si="3"/>
        <v>97.6</v>
      </c>
    </row>
    <row r="58" spans="1:8" ht="25.5" x14ac:dyDescent="0.2">
      <c r="A58" s="1">
        <v>55</v>
      </c>
      <c r="B58" s="34" t="s">
        <v>296</v>
      </c>
      <c r="C58" s="1" t="s">
        <v>200</v>
      </c>
      <c r="D58" s="1" t="s">
        <v>282</v>
      </c>
      <c r="E58" s="1">
        <v>5</v>
      </c>
      <c r="F58" s="35">
        <f t="shared" si="2"/>
        <v>10</v>
      </c>
      <c r="G58" s="36">
        <v>37.67</v>
      </c>
      <c r="H58" s="36">
        <f t="shared" si="3"/>
        <v>376.7</v>
      </c>
    </row>
    <row r="59" spans="1:8" ht="12.75" x14ac:dyDescent="0.2">
      <c r="A59" s="1">
        <v>56</v>
      </c>
      <c r="B59" s="34" t="s">
        <v>297</v>
      </c>
      <c r="C59" s="1" t="s">
        <v>200</v>
      </c>
      <c r="D59" s="1" t="s">
        <v>282</v>
      </c>
      <c r="E59" s="1">
        <v>5</v>
      </c>
      <c r="F59" s="35">
        <f t="shared" si="2"/>
        <v>10</v>
      </c>
      <c r="G59" s="36">
        <f>G58</f>
        <v>37.67</v>
      </c>
      <c r="H59" s="36">
        <f t="shared" si="3"/>
        <v>376.7</v>
      </c>
    </row>
    <row r="60" spans="1:8" ht="25.5" x14ac:dyDescent="0.2">
      <c r="A60" s="1">
        <v>57</v>
      </c>
      <c r="B60" s="34" t="s">
        <v>298</v>
      </c>
      <c r="C60" s="1" t="s">
        <v>200</v>
      </c>
      <c r="D60" s="1" t="s">
        <v>282</v>
      </c>
      <c r="E60" s="1">
        <v>5</v>
      </c>
      <c r="F60" s="35">
        <f t="shared" si="2"/>
        <v>10</v>
      </c>
      <c r="G60" s="36">
        <f>G58</f>
        <v>37.67</v>
      </c>
      <c r="H60" s="36">
        <f t="shared" si="3"/>
        <v>376.7</v>
      </c>
    </row>
    <row r="61" spans="1:8" ht="25.5" x14ac:dyDescent="0.2">
      <c r="A61" s="1">
        <v>58</v>
      </c>
      <c r="B61" s="34" t="s">
        <v>299</v>
      </c>
      <c r="C61" s="1" t="s">
        <v>200</v>
      </c>
      <c r="D61" s="1" t="s">
        <v>289</v>
      </c>
      <c r="E61" s="1">
        <v>2</v>
      </c>
      <c r="F61" s="35">
        <f t="shared" si="2"/>
        <v>2</v>
      </c>
      <c r="G61" s="36">
        <v>23.9</v>
      </c>
      <c r="H61" s="36">
        <f t="shared" si="3"/>
        <v>47.8</v>
      </c>
    </row>
    <row r="62" spans="1:8" ht="63.75" x14ac:dyDescent="0.2">
      <c r="A62" s="1">
        <v>59</v>
      </c>
      <c r="B62" s="34" t="s">
        <v>300</v>
      </c>
      <c r="C62" s="1" t="s">
        <v>200</v>
      </c>
      <c r="D62" s="1" t="s">
        <v>289</v>
      </c>
      <c r="E62" s="1">
        <v>10</v>
      </c>
      <c r="F62" s="35">
        <f t="shared" si="2"/>
        <v>10</v>
      </c>
      <c r="G62" s="36">
        <v>60.62</v>
      </c>
      <c r="H62" s="36">
        <f t="shared" si="3"/>
        <v>606.20000000000005</v>
      </c>
    </row>
    <row r="63" spans="1:8" ht="25.5" x14ac:dyDescent="0.2">
      <c r="A63" s="1">
        <v>60</v>
      </c>
      <c r="B63" s="34" t="s">
        <v>301</v>
      </c>
      <c r="C63" s="1" t="s">
        <v>200</v>
      </c>
      <c r="D63" s="1" t="s">
        <v>282</v>
      </c>
      <c r="E63" s="1">
        <v>2</v>
      </c>
      <c r="F63" s="35">
        <f t="shared" si="2"/>
        <v>4</v>
      </c>
      <c r="G63" s="36">
        <v>20.11</v>
      </c>
      <c r="H63" s="36">
        <f t="shared" si="3"/>
        <v>80.44</v>
      </c>
    </row>
    <row r="64" spans="1:8" ht="25.5" x14ac:dyDescent="0.2">
      <c r="A64" s="1">
        <v>61</v>
      </c>
      <c r="B64" s="34" t="s">
        <v>302</v>
      </c>
      <c r="C64" s="1" t="s">
        <v>200</v>
      </c>
      <c r="D64" s="1" t="s">
        <v>282</v>
      </c>
      <c r="E64" s="1">
        <v>5</v>
      </c>
      <c r="F64" s="35">
        <f t="shared" si="2"/>
        <v>10</v>
      </c>
      <c r="G64" s="36">
        <v>22.22</v>
      </c>
      <c r="H64" s="36">
        <f t="shared" si="3"/>
        <v>222.2</v>
      </c>
    </row>
    <row r="65" spans="1:8" ht="25.5" x14ac:dyDescent="0.2">
      <c r="A65" s="1">
        <v>62</v>
      </c>
      <c r="B65" s="34" t="s">
        <v>303</v>
      </c>
      <c r="C65" s="1" t="s">
        <v>200</v>
      </c>
      <c r="D65" s="1" t="s">
        <v>282</v>
      </c>
      <c r="E65" s="1">
        <v>5</v>
      </c>
      <c r="F65" s="35">
        <f t="shared" si="2"/>
        <v>10</v>
      </c>
      <c r="G65" s="36">
        <v>25.29</v>
      </c>
      <c r="H65" s="36">
        <f t="shared" si="3"/>
        <v>252.9</v>
      </c>
    </row>
    <row r="66" spans="1:8" ht="25.5" x14ac:dyDescent="0.2">
      <c r="A66" s="1">
        <v>63</v>
      </c>
      <c r="B66" s="34" t="s">
        <v>304</v>
      </c>
      <c r="C66" s="1" t="s">
        <v>200</v>
      </c>
      <c r="D66" s="1" t="s">
        <v>289</v>
      </c>
      <c r="E66" s="1">
        <v>4</v>
      </c>
      <c r="F66" s="35">
        <f t="shared" si="2"/>
        <v>4</v>
      </c>
      <c r="G66" s="36">
        <v>92.67</v>
      </c>
      <c r="H66" s="36">
        <f t="shared" si="3"/>
        <v>370.68</v>
      </c>
    </row>
    <row r="67" spans="1:8" ht="12.75" x14ac:dyDescent="0.2">
      <c r="A67" s="1">
        <v>64</v>
      </c>
      <c r="B67" s="34" t="s">
        <v>305</v>
      </c>
      <c r="C67" s="1" t="s">
        <v>200</v>
      </c>
      <c r="D67" s="1" t="s">
        <v>282</v>
      </c>
      <c r="E67" s="1">
        <v>5</v>
      </c>
      <c r="F67" s="35">
        <f t="shared" si="2"/>
        <v>10</v>
      </c>
      <c r="G67" s="36">
        <v>14.04</v>
      </c>
      <c r="H67" s="36">
        <f t="shared" si="3"/>
        <v>140.4</v>
      </c>
    </row>
    <row r="68" spans="1:8" ht="51" x14ac:dyDescent="0.2">
      <c r="A68" s="1">
        <v>65</v>
      </c>
      <c r="B68" s="34" t="s">
        <v>306</v>
      </c>
      <c r="C68" s="1" t="s">
        <v>200</v>
      </c>
      <c r="D68" s="1" t="s">
        <v>289</v>
      </c>
      <c r="E68" s="1">
        <v>5</v>
      </c>
      <c r="F68" s="35">
        <f t="shared" si="2"/>
        <v>5</v>
      </c>
      <c r="G68" s="36">
        <v>17.3</v>
      </c>
      <c r="H68" s="36">
        <f t="shared" si="3"/>
        <v>86.5</v>
      </c>
    </row>
    <row r="69" spans="1:8" ht="51" x14ac:dyDescent="0.2">
      <c r="A69" s="1">
        <v>66</v>
      </c>
      <c r="B69" s="34" t="s">
        <v>307</v>
      </c>
      <c r="C69" s="1" t="s">
        <v>200</v>
      </c>
      <c r="D69" s="1" t="s">
        <v>282</v>
      </c>
      <c r="E69" s="1">
        <v>5</v>
      </c>
      <c r="F69" s="35">
        <f t="shared" si="2"/>
        <v>10</v>
      </c>
      <c r="G69" s="36">
        <v>17.579999999999998</v>
      </c>
      <c r="H69" s="36">
        <f t="shared" si="3"/>
        <v>175.8</v>
      </c>
    </row>
    <row r="70" spans="1:8" ht="51" x14ac:dyDescent="0.2">
      <c r="A70" s="1">
        <v>67</v>
      </c>
      <c r="B70" s="34" t="s">
        <v>308</v>
      </c>
      <c r="C70" s="1" t="s">
        <v>200</v>
      </c>
      <c r="D70" s="1" t="s">
        <v>282</v>
      </c>
      <c r="E70" s="1">
        <v>2</v>
      </c>
      <c r="F70" s="35">
        <f t="shared" si="2"/>
        <v>4</v>
      </c>
      <c r="G70" s="36">
        <v>11.27</v>
      </c>
      <c r="H70" s="36">
        <f t="shared" si="3"/>
        <v>45.08</v>
      </c>
    </row>
    <row r="71" spans="1:8" ht="38.25" x14ac:dyDescent="0.2">
      <c r="A71" s="1">
        <v>68</v>
      </c>
      <c r="B71" s="34" t="s">
        <v>309</v>
      </c>
      <c r="C71" s="1" t="s">
        <v>200</v>
      </c>
      <c r="D71" s="1" t="s">
        <v>282</v>
      </c>
      <c r="E71" s="1">
        <v>5</v>
      </c>
      <c r="F71" s="35">
        <f t="shared" si="2"/>
        <v>10</v>
      </c>
      <c r="G71" s="36">
        <v>10.24</v>
      </c>
      <c r="H71" s="36">
        <f t="shared" si="3"/>
        <v>102.4</v>
      </c>
    </row>
    <row r="72" spans="1:8" ht="12.75" customHeight="1" x14ac:dyDescent="0.2">
      <c r="A72" s="1">
        <v>69</v>
      </c>
      <c r="B72" s="40" t="s">
        <v>310</v>
      </c>
      <c r="C72" s="1" t="s">
        <v>200</v>
      </c>
      <c r="D72" s="1" t="s">
        <v>289</v>
      </c>
      <c r="E72" s="1">
        <v>1</v>
      </c>
      <c r="F72" s="35">
        <f t="shared" si="2"/>
        <v>1</v>
      </c>
      <c r="G72" s="36">
        <v>135.05000000000001</v>
      </c>
      <c r="H72" s="36">
        <f t="shared" si="3"/>
        <v>135.05000000000001</v>
      </c>
    </row>
    <row r="73" spans="1:8" ht="12.75" customHeight="1" x14ac:dyDescent="0.2">
      <c r="A73" s="122" t="s">
        <v>311</v>
      </c>
      <c r="B73" s="82"/>
      <c r="C73" s="82"/>
      <c r="D73" s="82"/>
      <c r="E73" s="82"/>
      <c r="F73" s="82"/>
      <c r="G73" s="83"/>
      <c r="H73" s="52">
        <f>TRUNC(SUM(H45:H72),2)</f>
        <v>8310.8700000000008</v>
      </c>
    </row>
    <row r="74" spans="1:8" ht="12.75" customHeight="1" x14ac:dyDescent="0.2">
      <c r="A74" s="134" t="s">
        <v>312</v>
      </c>
      <c r="B74" s="82"/>
      <c r="C74" s="82"/>
      <c r="D74" s="82"/>
      <c r="E74" s="82"/>
      <c r="F74" s="82"/>
      <c r="G74" s="83"/>
      <c r="H74" s="53">
        <f>TRUNC(H41+H73,2)</f>
        <v>31331.23</v>
      </c>
    </row>
    <row r="75" spans="1:8" ht="12.75" customHeight="1" x14ac:dyDescent="0.2">
      <c r="A75" s="134" t="s">
        <v>313</v>
      </c>
      <c r="B75" s="82"/>
      <c r="C75" s="82"/>
      <c r="D75" s="82"/>
      <c r="E75" s="82"/>
      <c r="F75" s="82"/>
      <c r="G75" s="83"/>
      <c r="H75" s="53">
        <f>TRUNC(H74/12,2)</f>
        <v>2610.9299999999998</v>
      </c>
    </row>
    <row r="76" spans="1:8" ht="12.75" customHeight="1" x14ac:dyDescent="0.2">
      <c r="A76" s="134" t="s">
        <v>211</v>
      </c>
      <c r="B76" s="82"/>
      <c r="C76" s="82"/>
      <c r="D76" s="82"/>
      <c r="E76" s="82"/>
      <c r="F76" s="82"/>
      <c r="G76" s="83"/>
      <c r="H76" s="53">
        <f>TRUNC(H75/'PREÇO POR M²'!L3,2)</f>
        <v>703.59</v>
      </c>
    </row>
    <row r="77" spans="1:8" ht="12.75" customHeight="1" x14ac:dyDescent="0.2">
      <c r="A77" s="123" t="s">
        <v>212</v>
      </c>
      <c r="B77" s="82"/>
      <c r="C77" s="82"/>
      <c r="D77" s="82"/>
      <c r="E77" s="82"/>
      <c r="F77" s="82"/>
      <c r="G77" s="83"/>
      <c r="H77" s="54">
        <f>TRUNC(H76-(0.0925*H76),2)</f>
        <v>638.5</v>
      </c>
    </row>
  </sheetData>
  <mergeCells count="21">
    <mergeCell ref="A76:G76"/>
    <mergeCell ref="A77:G77"/>
    <mergeCell ref="E4:F4"/>
    <mergeCell ref="A41:G41"/>
    <mergeCell ref="A42:H42"/>
    <mergeCell ref="A43:A44"/>
    <mergeCell ref="B43:B44"/>
    <mergeCell ref="C43:C44"/>
    <mergeCell ref="D43:D44"/>
    <mergeCell ref="E43:F43"/>
    <mergeCell ref="G43:H43"/>
    <mergeCell ref="A73:G73"/>
    <mergeCell ref="A74:G74"/>
    <mergeCell ref="A75:G75"/>
    <mergeCell ref="A1:H1"/>
    <mergeCell ref="A3:H3"/>
    <mergeCell ref="A4:A5"/>
    <mergeCell ref="B4:B5"/>
    <mergeCell ref="C4:C5"/>
    <mergeCell ref="D4:D5"/>
    <mergeCell ref="G4:H4"/>
  </mergeCells>
  <pageMargins left="0.39374999999999999" right="0.39374999999999999" top="0.78749999999999998" bottom="0.39374999999999999" header="0" footer="0"/>
  <pageSetup paperSize="9" fitToHeight="0" orientation="portrai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D9D9D9"/>
    <pageSetUpPr fitToPage="1"/>
  </sheetPr>
  <dimension ref="A1:J25"/>
  <sheetViews>
    <sheetView workbookViewId="0"/>
  </sheetViews>
  <sheetFormatPr defaultColWidth="14.42578125" defaultRowHeight="15" customHeight="1" x14ac:dyDescent="0.2"/>
  <cols>
    <col min="1" max="1" width="7.28515625" customWidth="1"/>
    <col min="2" max="2" width="38.5703125" customWidth="1"/>
    <col min="3" max="3" width="15.42578125" customWidth="1"/>
    <col min="4" max="4" width="18.85546875" customWidth="1"/>
    <col min="5" max="5" width="17.85546875" customWidth="1"/>
    <col min="6" max="10" width="15.42578125" customWidth="1"/>
  </cols>
  <sheetData>
    <row r="1" spans="1:10" ht="18" x14ac:dyDescent="0.25">
      <c r="A1" s="81" t="s">
        <v>314</v>
      </c>
      <c r="B1" s="82"/>
      <c r="C1" s="82"/>
      <c r="D1" s="82"/>
      <c r="E1" s="82"/>
      <c r="F1" s="82"/>
      <c r="G1" s="82"/>
      <c r="H1" s="82"/>
      <c r="I1" s="82"/>
      <c r="J1" s="83"/>
    </row>
    <row r="2" spans="1:10" ht="12.75" customHeight="1" x14ac:dyDescent="0.2">
      <c r="A2" s="135" t="s">
        <v>315</v>
      </c>
      <c r="B2" s="82"/>
      <c r="C2" s="82"/>
      <c r="D2" s="82"/>
      <c r="E2" s="82"/>
      <c r="F2" s="82"/>
      <c r="G2" s="82"/>
      <c r="H2" s="82"/>
      <c r="I2" s="82"/>
      <c r="J2" s="83"/>
    </row>
    <row r="3" spans="1:10" ht="12.75" customHeight="1" x14ac:dyDescent="0.2">
      <c r="A3" s="23"/>
      <c r="B3" s="23"/>
      <c r="C3" s="23"/>
      <c r="D3" s="23"/>
      <c r="E3" s="23"/>
      <c r="F3" s="23"/>
      <c r="G3" s="23"/>
      <c r="H3" s="23"/>
      <c r="I3" s="23"/>
      <c r="J3" s="23"/>
    </row>
    <row r="4" spans="1:10" ht="49.5" customHeight="1" x14ac:dyDescent="0.2">
      <c r="A4" s="26" t="s">
        <v>220</v>
      </c>
      <c r="B4" s="26" t="s">
        <v>316</v>
      </c>
      <c r="C4" s="26" t="s">
        <v>317</v>
      </c>
      <c r="D4" s="26" t="s">
        <v>318</v>
      </c>
      <c r="E4" s="26" t="s">
        <v>319</v>
      </c>
      <c r="F4" s="26" t="s">
        <v>320</v>
      </c>
      <c r="G4" s="55" t="s">
        <v>321</v>
      </c>
      <c r="H4" s="55" t="s">
        <v>322</v>
      </c>
      <c r="I4" s="55" t="s">
        <v>323</v>
      </c>
      <c r="J4" s="55" t="s">
        <v>324</v>
      </c>
    </row>
    <row r="5" spans="1:10" ht="76.5" x14ac:dyDescent="0.2">
      <c r="A5" s="49">
        <v>1</v>
      </c>
      <c r="B5" s="56" t="s">
        <v>325</v>
      </c>
      <c r="C5" s="1">
        <v>1</v>
      </c>
      <c r="D5" s="57">
        <v>2074.83</v>
      </c>
      <c r="E5" s="57">
        <f t="shared" ref="E5:E21" si="0">AVERAGE(D5)</f>
        <v>2074.83</v>
      </c>
      <c r="F5" s="57">
        <f t="shared" ref="F5:F6" si="1">D5*C5</f>
        <v>2074.83</v>
      </c>
      <c r="G5" s="58">
        <f t="shared" ref="G5:G21" si="2">0.0025*F5</f>
        <v>5.1870750000000001</v>
      </c>
      <c r="H5" s="59">
        <v>60</v>
      </c>
      <c r="I5" s="58">
        <f t="shared" ref="I5:I21" si="3">IF(H5&lt;&gt;"",(F5)/H5,"")</f>
        <v>34.580500000000001</v>
      </c>
      <c r="J5" s="60">
        <f t="shared" ref="J5:J21" si="4">TRUNC(G5+I5,2)</f>
        <v>39.76</v>
      </c>
    </row>
    <row r="6" spans="1:10" ht="12.75" x14ac:dyDescent="0.2">
      <c r="A6" s="49">
        <v>2</v>
      </c>
      <c r="B6" s="56" t="s">
        <v>326</v>
      </c>
      <c r="C6" s="1">
        <v>1</v>
      </c>
      <c r="D6" s="57">
        <v>135.6</v>
      </c>
      <c r="E6" s="57">
        <f t="shared" si="0"/>
        <v>135.6</v>
      </c>
      <c r="F6" s="57">
        <f t="shared" si="1"/>
        <v>135.6</v>
      </c>
      <c r="G6" s="58">
        <f t="shared" si="2"/>
        <v>0.33899999999999997</v>
      </c>
      <c r="H6" s="59">
        <v>60</v>
      </c>
      <c r="I6" s="58">
        <f t="shared" si="3"/>
        <v>2.2599999999999998</v>
      </c>
      <c r="J6" s="60">
        <f t="shared" si="4"/>
        <v>2.59</v>
      </c>
    </row>
    <row r="7" spans="1:10" ht="25.5" x14ac:dyDescent="0.2">
      <c r="A7" s="49">
        <v>3</v>
      </c>
      <c r="B7" s="61" t="s">
        <v>327</v>
      </c>
      <c r="C7" s="1">
        <v>2</v>
      </c>
      <c r="D7" s="57">
        <v>365.71</v>
      </c>
      <c r="E7" s="57">
        <f t="shared" si="0"/>
        <v>365.71</v>
      </c>
      <c r="F7" s="57">
        <f t="shared" ref="F7:F21" si="5">E7*C7</f>
        <v>731.42</v>
      </c>
      <c r="G7" s="58">
        <f t="shared" si="2"/>
        <v>1.8285499999999999</v>
      </c>
      <c r="H7" s="59">
        <v>60</v>
      </c>
      <c r="I7" s="58">
        <f t="shared" si="3"/>
        <v>12.190333333333333</v>
      </c>
      <c r="J7" s="60">
        <f t="shared" si="4"/>
        <v>14.01</v>
      </c>
    </row>
    <row r="8" spans="1:10" ht="25.5" x14ac:dyDescent="0.2">
      <c r="A8" s="49">
        <v>4</v>
      </c>
      <c r="B8" s="61" t="s">
        <v>328</v>
      </c>
      <c r="C8" s="1">
        <v>1</v>
      </c>
      <c r="D8" s="57">
        <v>1326.37</v>
      </c>
      <c r="E8" s="57">
        <f t="shared" si="0"/>
        <v>1326.37</v>
      </c>
      <c r="F8" s="57">
        <f t="shared" si="5"/>
        <v>1326.37</v>
      </c>
      <c r="G8" s="58">
        <f t="shared" si="2"/>
        <v>3.315925</v>
      </c>
      <c r="H8" s="59">
        <v>60</v>
      </c>
      <c r="I8" s="58">
        <f t="shared" si="3"/>
        <v>22.106166666666663</v>
      </c>
      <c r="J8" s="60">
        <f t="shared" si="4"/>
        <v>25.42</v>
      </c>
    </row>
    <row r="9" spans="1:10" ht="12.75" x14ac:dyDescent="0.2">
      <c r="A9" s="49">
        <v>5</v>
      </c>
      <c r="B9" s="40" t="s">
        <v>329</v>
      </c>
      <c r="C9" s="1">
        <v>2</v>
      </c>
      <c r="D9" s="57">
        <v>134.96</v>
      </c>
      <c r="E9" s="57">
        <f t="shared" si="0"/>
        <v>134.96</v>
      </c>
      <c r="F9" s="57">
        <f t="shared" si="5"/>
        <v>269.92</v>
      </c>
      <c r="G9" s="58">
        <f t="shared" si="2"/>
        <v>0.67480000000000007</v>
      </c>
      <c r="H9" s="59">
        <v>60</v>
      </c>
      <c r="I9" s="58">
        <f t="shared" si="3"/>
        <v>4.4986666666666668</v>
      </c>
      <c r="J9" s="60">
        <f t="shared" si="4"/>
        <v>5.17</v>
      </c>
    </row>
    <row r="10" spans="1:10" ht="12.75" x14ac:dyDescent="0.2">
      <c r="A10" s="49">
        <v>6</v>
      </c>
      <c r="B10" s="62" t="s">
        <v>330</v>
      </c>
      <c r="C10" s="1">
        <v>1</v>
      </c>
      <c r="D10" s="57">
        <v>186.63</v>
      </c>
      <c r="E10" s="57">
        <f t="shared" si="0"/>
        <v>186.63</v>
      </c>
      <c r="F10" s="57">
        <f t="shared" si="5"/>
        <v>186.63</v>
      </c>
      <c r="G10" s="58">
        <f t="shared" si="2"/>
        <v>0.46657500000000002</v>
      </c>
      <c r="H10" s="59">
        <v>60</v>
      </c>
      <c r="I10" s="58">
        <f t="shared" si="3"/>
        <v>3.1105</v>
      </c>
      <c r="J10" s="60">
        <f t="shared" si="4"/>
        <v>3.57</v>
      </c>
    </row>
    <row r="11" spans="1:10" ht="38.25" x14ac:dyDescent="0.2">
      <c r="A11" s="49">
        <v>7</v>
      </c>
      <c r="B11" s="56" t="s">
        <v>331</v>
      </c>
      <c r="C11" s="49">
        <v>1</v>
      </c>
      <c r="D11" s="57">
        <v>1362.39</v>
      </c>
      <c r="E11" s="57">
        <f t="shared" si="0"/>
        <v>1362.39</v>
      </c>
      <c r="F11" s="57">
        <f t="shared" si="5"/>
        <v>1362.39</v>
      </c>
      <c r="G11" s="58">
        <f t="shared" si="2"/>
        <v>3.4059750000000002</v>
      </c>
      <c r="H11" s="59">
        <v>60</v>
      </c>
      <c r="I11" s="58">
        <f t="shared" si="3"/>
        <v>22.706500000000002</v>
      </c>
      <c r="J11" s="60">
        <f t="shared" si="4"/>
        <v>26.11</v>
      </c>
    </row>
    <row r="12" spans="1:10" ht="25.5" x14ac:dyDescent="0.2">
      <c r="A12" s="49">
        <v>8</v>
      </c>
      <c r="B12" s="61" t="s">
        <v>332</v>
      </c>
      <c r="C12" s="49">
        <v>2</v>
      </c>
      <c r="D12" s="57">
        <v>31.63</v>
      </c>
      <c r="E12" s="57">
        <f t="shared" si="0"/>
        <v>31.63</v>
      </c>
      <c r="F12" s="57">
        <f t="shared" si="5"/>
        <v>63.26</v>
      </c>
      <c r="G12" s="58">
        <f t="shared" si="2"/>
        <v>0.15814999999999999</v>
      </c>
      <c r="H12" s="59">
        <v>60</v>
      </c>
      <c r="I12" s="58">
        <f t="shared" si="3"/>
        <v>1.0543333333333333</v>
      </c>
      <c r="J12" s="60">
        <f t="shared" si="4"/>
        <v>1.21</v>
      </c>
    </row>
    <row r="13" spans="1:10" ht="12.75" x14ac:dyDescent="0.2">
      <c r="A13" s="49">
        <v>9</v>
      </c>
      <c r="B13" s="63" t="s">
        <v>333</v>
      </c>
      <c r="C13" s="49">
        <v>2</v>
      </c>
      <c r="D13" s="57">
        <v>19.68</v>
      </c>
      <c r="E13" s="57">
        <f t="shared" si="0"/>
        <v>19.68</v>
      </c>
      <c r="F13" s="57">
        <f t="shared" si="5"/>
        <v>39.36</v>
      </c>
      <c r="G13" s="58">
        <f t="shared" si="2"/>
        <v>9.8400000000000001E-2</v>
      </c>
      <c r="H13" s="59">
        <v>60</v>
      </c>
      <c r="I13" s="58">
        <f t="shared" si="3"/>
        <v>0.65600000000000003</v>
      </c>
      <c r="J13" s="60">
        <f t="shared" si="4"/>
        <v>0.75</v>
      </c>
    </row>
    <row r="14" spans="1:10" ht="76.5" x14ac:dyDescent="0.2">
      <c r="A14" s="49">
        <v>10</v>
      </c>
      <c r="B14" s="56" t="s">
        <v>334</v>
      </c>
      <c r="C14" s="49">
        <v>1</v>
      </c>
      <c r="D14" s="57">
        <v>111.66</v>
      </c>
      <c r="E14" s="57">
        <f t="shared" si="0"/>
        <v>111.66</v>
      </c>
      <c r="F14" s="57">
        <f t="shared" si="5"/>
        <v>111.66</v>
      </c>
      <c r="G14" s="58">
        <f t="shared" si="2"/>
        <v>0.27915000000000001</v>
      </c>
      <c r="H14" s="59">
        <v>60</v>
      </c>
      <c r="I14" s="58">
        <f t="shared" si="3"/>
        <v>1.861</v>
      </c>
      <c r="J14" s="60">
        <f t="shared" si="4"/>
        <v>2.14</v>
      </c>
    </row>
    <row r="15" spans="1:10" ht="165.75" x14ac:dyDescent="0.2">
      <c r="A15" s="49">
        <v>11</v>
      </c>
      <c r="B15" s="40" t="s">
        <v>335</v>
      </c>
      <c r="C15" s="49">
        <v>1</v>
      </c>
      <c r="D15" s="57">
        <v>444</v>
      </c>
      <c r="E15" s="57">
        <f t="shared" si="0"/>
        <v>444</v>
      </c>
      <c r="F15" s="57">
        <f t="shared" si="5"/>
        <v>444</v>
      </c>
      <c r="G15" s="58">
        <f t="shared" si="2"/>
        <v>1.1100000000000001</v>
      </c>
      <c r="H15" s="59">
        <v>60</v>
      </c>
      <c r="I15" s="58">
        <f t="shared" si="3"/>
        <v>7.4</v>
      </c>
      <c r="J15" s="60">
        <f t="shared" si="4"/>
        <v>8.51</v>
      </c>
    </row>
    <row r="16" spans="1:10" ht="89.25" x14ac:dyDescent="0.2">
      <c r="A16" s="49">
        <v>12</v>
      </c>
      <c r="B16" s="56" t="s">
        <v>336</v>
      </c>
      <c r="C16" s="49">
        <v>2</v>
      </c>
      <c r="D16" s="57">
        <v>1288</v>
      </c>
      <c r="E16" s="57">
        <f t="shared" si="0"/>
        <v>1288</v>
      </c>
      <c r="F16" s="57">
        <f t="shared" si="5"/>
        <v>2576</v>
      </c>
      <c r="G16" s="58">
        <f t="shared" si="2"/>
        <v>6.44</v>
      </c>
      <c r="H16" s="59">
        <v>60</v>
      </c>
      <c r="I16" s="58">
        <f t="shared" si="3"/>
        <v>42.93333333333333</v>
      </c>
      <c r="J16" s="60">
        <f t="shared" si="4"/>
        <v>49.37</v>
      </c>
    </row>
    <row r="17" spans="1:10" ht="63.75" x14ac:dyDescent="0.2">
      <c r="A17" s="49">
        <v>13</v>
      </c>
      <c r="B17" s="40" t="s">
        <v>337</v>
      </c>
      <c r="C17" s="1">
        <v>1</v>
      </c>
      <c r="D17" s="57">
        <v>532.04</v>
      </c>
      <c r="E17" s="57">
        <f t="shared" si="0"/>
        <v>532.04</v>
      </c>
      <c r="F17" s="57">
        <f t="shared" si="5"/>
        <v>532.04</v>
      </c>
      <c r="G17" s="58">
        <f t="shared" si="2"/>
        <v>1.3300999999999998</v>
      </c>
      <c r="H17" s="59">
        <v>60</v>
      </c>
      <c r="I17" s="58">
        <f t="shared" si="3"/>
        <v>8.8673333333333328</v>
      </c>
      <c r="J17" s="60">
        <f t="shared" si="4"/>
        <v>10.19</v>
      </c>
    </row>
    <row r="18" spans="1:10" ht="63.75" x14ac:dyDescent="0.2">
      <c r="A18" s="49">
        <v>14</v>
      </c>
      <c r="B18" s="61" t="s">
        <v>338</v>
      </c>
      <c r="C18" s="49">
        <v>1</v>
      </c>
      <c r="D18" s="57">
        <v>713.07</v>
      </c>
      <c r="E18" s="57">
        <f t="shared" si="0"/>
        <v>713.07</v>
      </c>
      <c r="F18" s="57">
        <f t="shared" si="5"/>
        <v>713.07</v>
      </c>
      <c r="G18" s="58">
        <f t="shared" si="2"/>
        <v>1.7826750000000002</v>
      </c>
      <c r="H18" s="59">
        <v>60</v>
      </c>
      <c r="I18" s="58">
        <f t="shared" si="3"/>
        <v>11.884500000000001</v>
      </c>
      <c r="J18" s="60">
        <f t="shared" si="4"/>
        <v>13.66</v>
      </c>
    </row>
    <row r="19" spans="1:10" ht="12.75" x14ac:dyDescent="0.2">
      <c r="A19" s="49">
        <v>15</v>
      </c>
      <c r="B19" s="61" t="s">
        <v>339</v>
      </c>
      <c r="C19" s="49">
        <v>2</v>
      </c>
      <c r="D19" s="57">
        <v>49.43</v>
      </c>
      <c r="E19" s="57">
        <f t="shared" si="0"/>
        <v>49.43</v>
      </c>
      <c r="F19" s="57">
        <f t="shared" si="5"/>
        <v>98.86</v>
      </c>
      <c r="G19" s="58">
        <f t="shared" si="2"/>
        <v>0.24715000000000001</v>
      </c>
      <c r="H19" s="59">
        <v>60</v>
      </c>
      <c r="I19" s="58">
        <f t="shared" si="3"/>
        <v>1.6476666666666666</v>
      </c>
      <c r="J19" s="60">
        <f t="shared" si="4"/>
        <v>1.89</v>
      </c>
    </row>
    <row r="20" spans="1:10" ht="51" x14ac:dyDescent="0.2">
      <c r="A20" s="49">
        <v>16</v>
      </c>
      <c r="B20" s="61" t="s">
        <v>340</v>
      </c>
      <c r="C20" s="49">
        <v>1</v>
      </c>
      <c r="D20" s="57">
        <v>1403.46</v>
      </c>
      <c r="E20" s="57">
        <f t="shared" si="0"/>
        <v>1403.46</v>
      </c>
      <c r="F20" s="57">
        <f t="shared" si="5"/>
        <v>1403.46</v>
      </c>
      <c r="G20" s="58">
        <f t="shared" si="2"/>
        <v>3.5086500000000003</v>
      </c>
      <c r="H20" s="59">
        <v>60</v>
      </c>
      <c r="I20" s="58">
        <f t="shared" si="3"/>
        <v>23.391000000000002</v>
      </c>
      <c r="J20" s="60">
        <f t="shared" si="4"/>
        <v>26.89</v>
      </c>
    </row>
    <row r="21" spans="1:10" ht="25.5" x14ac:dyDescent="0.2">
      <c r="A21" s="49">
        <v>17</v>
      </c>
      <c r="B21" s="61" t="s">
        <v>341</v>
      </c>
      <c r="C21" s="49">
        <v>2</v>
      </c>
      <c r="D21" s="57">
        <v>122.93</v>
      </c>
      <c r="E21" s="57">
        <f t="shared" si="0"/>
        <v>122.93</v>
      </c>
      <c r="F21" s="57">
        <f t="shared" si="5"/>
        <v>245.86</v>
      </c>
      <c r="G21" s="58">
        <f t="shared" si="2"/>
        <v>0.61465000000000003</v>
      </c>
      <c r="H21" s="59">
        <v>60</v>
      </c>
      <c r="I21" s="58">
        <f t="shared" si="3"/>
        <v>4.097666666666667</v>
      </c>
      <c r="J21" s="60">
        <f t="shared" si="4"/>
        <v>4.71</v>
      </c>
    </row>
    <row r="22" spans="1:10" ht="12.75" customHeight="1" x14ac:dyDescent="0.2">
      <c r="A22" s="134" t="s">
        <v>342</v>
      </c>
      <c r="B22" s="82"/>
      <c r="C22" s="82"/>
      <c r="D22" s="82"/>
      <c r="E22" s="82"/>
      <c r="F22" s="82"/>
      <c r="G22" s="82"/>
      <c r="H22" s="82"/>
      <c r="I22" s="83"/>
      <c r="J22" s="64">
        <f>TRUNC(SUM(J5:J21),2)</f>
        <v>235.95</v>
      </c>
    </row>
    <row r="23" spans="1:10" ht="12.75" customHeight="1" x14ac:dyDescent="0.2">
      <c r="A23" s="134" t="s">
        <v>210</v>
      </c>
      <c r="B23" s="82"/>
      <c r="C23" s="82"/>
      <c r="D23" s="82"/>
      <c r="E23" s="82"/>
      <c r="F23" s="82"/>
      <c r="G23" s="82"/>
      <c r="H23" s="82"/>
      <c r="I23" s="83"/>
      <c r="J23" s="64">
        <f>TRUNC(J22*12,2)</f>
        <v>2831.4</v>
      </c>
    </row>
    <row r="24" spans="1:10" ht="12.75" customHeight="1" x14ac:dyDescent="0.2">
      <c r="A24" s="134" t="s">
        <v>211</v>
      </c>
      <c r="B24" s="82"/>
      <c r="C24" s="82"/>
      <c r="D24" s="82"/>
      <c r="E24" s="82"/>
      <c r="F24" s="82"/>
      <c r="G24" s="82"/>
      <c r="H24" s="82"/>
      <c r="I24" s="83"/>
      <c r="J24" s="64">
        <f>TRUNC(J22/'PREÇO POR M²'!L3,2)</f>
        <v>63.58</v>
      </c>
    </row>
    <row r="25" spans="1:10" ht="12.75" customHeight="1" x14ac:dyDescent="0.2">
      <c r="A25" s="123" t="s">
        <v>212</v>
      </c>
      <c r="B25" s="82"/>
      <c r="C25" s="82"/>
      <c r="D25" s="82"/>
      <c r="E25" s="82"/>
      <c r="F25" s="82"/>
      <c r="G25" s="82"/>
      <c r="H25" s="82"/>
      <c r="I25" s="83"/>
      <c r="J25" s="54">
        <f>TRUNC(J24-(0.0925*J24),2)</f>
        <v>57.69</v>
      </c>
    </row>
  </sheetData>
  <mergeCells count="6">
    <mergeCell ref="A25:I25"/>
    <mergeCell ref="A1:J1"/>
    <mergeCell ref="A2:J2"/>
    <mergeCell ref="A22:I22"/>
    <mergeCell ref="A23:I23"/>
    <mergeCell ref="A24:I24"/>
  </mergeCells>
  <pageMargins left="0.51180555555555496" right="0.51180555555555496" top="0.78749999999999998" bottom="0.78749999999999998" header="0" footer="0"/>
  <pageSetup paperSize="9" fitToHeight="0" orientation="landscape"/>
  <legacy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L20"/>
  <sheetViews>
    <sheetView workbookViewId="0"/>
  </sheetViews>
  <sheetFormatPr defaultColWidth="14.42578125" defaultRowHeight="15" customHeight="1" x14ac:dyDescent="0.2"/>
  <cols>
    <col min="2" max="2" width="22.140625" customWidth="1"/>
    <col min="3" max="3" width="11.28515625" customWidth="1"/>
    <col min="4" max="4" width="21.42578125" customWidth="1"/>
    <col min="5" max="5" width="9.28515625" customWidth="1"/>
    <col min="6" max="6" width="10.42578125" customWidth="1"/>
    <col min="7" max="7" width="12.85546875" customWidth="1"/>
    <col min="8" max="8" width="12.7109375" customWidth="1"/>
    <col min="9" max="9" width="12.140625" customWidth="1"/>
    <col min="10" max="10" width="13.5703125" customWidth="1"/>
    <col min="11" max="11" width="11.28515625" customWidth="1"/>
    <col min="12" max="12" width="13.7109375" customWidth="1"/>
  </cols>
  <sheetData>
    <row r="1" spans="1:12" ht="15" customHeight="1" x14ac:dyDescent="0.2">
      <c r="A1" s="145" t="s">
        <v>343</v>
      </c>
      <c r="B1" s="86"/>
      <c r="C1" s="86"/>
      <c r="D1" s="86"/>
      <c r="E1" s="86"/>
      <c r="F1" s="86"/>
      <c r="G1" s="86"/>
      <c r="H1" s="86"/>
      <c r="I1" s="86"/>
      <c r="J1" s="86"/>
      <c r="K1" s="86"/>
      <c r="L1" s="87"/>
    </row>
    <row r="2" spans="1:12" ht="15" customHeight="1" x14ac:dyDescent="0.2">
      <c r="A2" s="65"/>
      <c r="B2" s="65"/>
      <c r="C2" s="65"/>
      <c r="D2" s="65"/>
      <c r="E2" s="65"/>
      <c r="F2" s="65"/>
      <c r="G2" s="65"/>
      <c r="H2" s="65"/>
      <c r="I2" s="65"/>
      <c r="J2" s="65"/>
      <c r="K2" s="65"/>
      <c r="L2" s="65"/>
    </row>
    <row r="3" spans="1:12" ht="15" customHeight="1" x14ac:dyDescent="0.2">
      <c r="A3" s="146" t="s">
        <v>344</v>
      </c>
      <c r="B3" s="82"/>
      <c r="C3" s="82"/>
      <c r="D3" s="82"/>
      <c r="E3" s="82"/>
      <c r="F3" s="82"/>
      <c r="G3" s="82"/>
      <c r="H3" s="82"/>
      <c r="I3" s="82"/>
      <c r="J3" s="82"/>
      <c r="K3" s="83"/>
      <c r="L3" s="66">
        <f>$H$19</f>
        <v>3.7108256109161788</v>
      </c>
    </row>
    <row r="4" spans="1:12" ht="15" customHeight="1" x14ac:dyDescent="0.2">
      <c r="A4" s="146" t="s">
        <v>345</v>
      </c>
      <c r="B4" s="82"/>
      <c r="C4" s="82"/>
      <c r="D4" s="82"/>
      <c r="E4" s="82"/>
      <c r="F4" s="82"/>
      <c r="G4" s="82"/>
      <c r="H4" s="82"/>
      <c r="I4" s="82"/>
      <c r="J4" s="82"/>
      <c r="K4" s="83"/>
      <c r="L4" s="66">
        <f>SUM(H15)</f>
        <v>0.68733333333333324</v>
      </c>
    </row>
    <row r="5" spans="1:12" ht="15" customHeight="1" x14ac:dyDescent="0.2">
      <c r="A5" s="146" t="s">
        <v>346</v>
      </c>
      <c r="B5" s="82"/>
      <c r="C5" s="82"/>
      <c r="D5" s="82"/>
      <c r="E5" s="82"/>
      <c r="F5" s="82"/>
      <c r="G5" s="82"/>
      <c r="H5" s="82"/>
      <c r="I5" s="82"/>
      <c r="J5" s="82"/>
      <c r="K5" s="83"/>
      <c r="L5" s="67">
        <f>$L$19</f>
        <v>16219.539999999999</v>
      </c>
    </row>
    <row r="6" spans="1:12" ht="15" customHeight="1" x14ac:dyDescent="0.2">
      <c r="A6" s="146" t="s">
        <v>347</v>
      </c>
      <c r="B6" s="82"/>
      <c r="C6" s="82"/>
      <c r="D6" s="82"/>
      <c r="E6" s="82"/>
      <c r="F6" s="82"/>
      <c r="G6" s="82"/>
      <c r="H6" s="82"/>
      <c r="I6" s="82"/>
      <c r="J6" s="82"/>
      <c r="K6" s="83"/>
      <c r="L6" s="67">
        <f>TRUNC(L5*12,2)</f>
        <v>194634.48</v>
      </c>
    </row>
    <row r="7" spans="1:12" ht="15" customHeight="1" x14ac:dyDescent="0.2">
      <c r="A7" s="65"/>
      <c r="B7" s="65"/>
      <c r="C7" s="65"/>
      <c r="D7" s="65"/>
      <c r="E7" s="65"/>
      <c r="F7" s="65"/>
      <c r="G7" s="65"/>
      <c r="H7" s="65"/>
      <c r="I7" s="65"/>
      <c r="J7" s="65"/>
      <c r="K7" s="65"/>
      <c r="L7" s="65"/>
    </row>
    <row r="8" spans="1:12" ht="15" customHeight="1" x14ac:dyDescent="0.2">
      <c r="A8" s="136" t="s">
        <v>348</v>
      </c>
      <c r="B8" s="136" t="s">
        <v>349</v>
      </c>
      <c r="C8" s="136" t="s">
        <v>350</v>
      </c>
      <c r="D8" s="137" t="s">
        <v>351</v>
      </c>
      <c r="E8" s="87"/>
      <c r="F8" s="136" t="s">
        <v>352</v>
      </c>
      <c r="G8" s="136" t="s">
        <v>353</v>
      </c>
      <c r="H8" s="136" t="s">
        <v>354</v>
      </c>
      <c r="I8" s="143" t="s">
        <v>355</v>
      </c>
      <c r="J8" s="82"/>
      <c r="K8" s="82"/>
      <c r="L8" s="83"/>
    </row>
    <row r="9" spans="1:12" ht="15" customHeight="1" x14ac:dyDescent="0.2">
      <c r="A9" s="114"/>
      <c r="B9" s="114"/>
      <c r="C9" s="114"/>
      <c r="D9" s="138"/>
      <c r="E9" s="90"/>
      <c r="F9" s="114"/>
      <c r="G9" s="114"/>
      <c r="H9" s="114"/>
      <c r="I9" s="143" t="s">
        <v>196</v>
      </c>
      <c r="J9" s="82"/>
      <c r="K9" s="83"/>
      <c r="L9" s="136" t="s">
        <v>356</v>
      </c>
    </row>
    <row r="10" spans="1:12" ht="15" customHeight="1" x14ac:dyDescent="0.2">
      <c r="A10" s="111"/>
      <c r="B10" s="111"/>
      <c r="C10" s="111"/>
      <c r="D10" s="66" t="s">
        <v>316</v>
      </c>
      <c r="E10" s="66" t="s">
        <v>357</v>
      </c>
      <c r="F10" s="111"/>
      <c r="G10" s="111"/>
      <c r="H10" s="111"/>
      <c r="I10" s="66" t="s">
        <v>358</v>
      </c>
      <c r="J10" s="66" t="s">
        <v>359</v>
      </c>
      <c r="K10" s="66" t="s">
        <v>360</v>
      </c>
      <c r="L10" s="111"/>
    </row>
    <row r="11" spans="1:12" ht="15" customHeight="1" x14ac:dyDescent="0.2">
      <c r="A11" s="139" t="s">
        <v>361</v>
      </c>
      <c r="B11" s="68" t="s">
        <v>362</v>
      </c>
      <c r="C11" s="69">
        <v>285.74</v>
      </c>
      <c r="D11" s="69" t="s">
        <v>363</v>
      </c>
      <c r="E11" s="70">
        <v>30</v>
      </c>
      <c r="F11" s="70">
        <v>1200</v>
      </c>
      <c r="G11" s="71">
        <f t="shared" ref="G11:G18" si="0">(C11/30)*E11</f>
        <v>285.74</v>
      </c>
      <c r="H11" s="71">
        <f t="shared" ref="H11:H18" si="1">G11/F11</f>
        <v>0.23811666666666667</v>
      </c>
      <c r="I11" s="71">
        <f>'SERVENTE-NORMAL'!$D$153</f>
        <v>4375.1914368932212</v>
      </c>
      <c r="J11" s="72">
        <f t="shared" ref="J11:J18" si="2">1/F11</f>
        <v>8.3333333333333339E-4</v>
      </c>
      <c r="K11" s="73">
        <f t="shared" ref="K11:K18" si="3">TRUNC(I11*J11,2)</f>
        <v>3.64</v>
      </c>
      <c r="L11" s="73">
        <f t="shared" ref="L11:L18" si="4">TRUNC(K11*G11,2)</f>
        <v>1040.0899999999999</v>
      </c>
    </row>
    <row r="12" spans="1:12" ht="15" customHeight="1" x14ac:dyDescent="0.2">
      <c r="A12" s="94"/>
      <c r="B12" s="68" t="s">
        <v>364</v>
      </c>
      <c r="C12" s="69">
        <v>158.01</v>
      </c>
      <c r="D12" s="69" t="s">
        <v>365</v>
      </c>
      <c r="E12" s="70">
        <v>1</v>
      </c>
      <c r="F12" s="70">
        <v>2500</v>
      </c>
      <c r="G12" s="71">
        <f t="shared" si="0"/>
        <v>5.2669999999999995</v>
      </c>
      <c r="H12" s="71">
        <f t="shared" si="1"/>
        <v>2.1067999999999998E-3</v>
      </c>
      <c r="I12" s="71">
        <f>'SERVENTE-NORMAL'!$D$153</f>
        <v>4375.1914368932212</v>
      </c>
      <c r="J12" s="72">
        <f t="shared" si="2"/>
        <v>4.0000000000000002E-4</v>
      </c>
      <c r="K12" s="73">
        <f t="shared" si="3"/>
        <v>1.75</v>
      </c>
      <c r="L12" s="73">
        <f t="shared" si="4"/>
        <v>9.2100000000000009</v>
      </c>
    </row>
    <row r="13" spans="1:12" ht="15" customHeight="1" x14ac:dyDescent="0.2">
      <c r="A13" s="94"/>
      <c r="B13" s="68" t="s">
        <v>366</v>
      </c>
      <c r="C13" s="69">
        <v>362.28</v>
      </c>
      <c r="D13" s="69" t="s">
        <v>363</v>
      </c>
      <c r="E13" s="70">
        <v>30</v>
      </c>
      <c r="F13" s="70">
        <v>1500</v>
      </c>
      <c r="G13" s="71">
        <f t="shared" si="0"/>
        <v>362.28</v>
      </c>
      <c r="H13" s="71">
        <f t="shared" si="1"/>
        <v>0.24151999999999998</v>
      </c>
      <c r="I13" s="71">
        <f>'SERVENTE-NORMAL'!$D$153</f>
        <v>4375.1914368932212</v>
      </c>
      <c r="J13" s="72">
        <f t="shared" si="2"/>
        <v>6.6666666666666664E-4</v>
      </c>
      <c r="K13" s="73">
        <f t="shared" si="3"/>
        <v>2.91</v>
      </c>
      <c r="L13" s="73">
        <f t="shared" si="4"/>
        <v>1054.23</v>
      </c>
    </row>
    <row r="14" spans="1:12" ht="15" customHeight="1" x14ac:dyDescent="0.2">
      <c r="A14" s="94"/>
      <c r="B14" s="68" t="s">
        <v>367</v>
      </c>
      <c r="C14" s="69">
        <v>797.68</v>
      </c>
      <c r="D14" s="69" t="s">
        <v>368</v>
      </c>
      <c r="E14" s="70">
        <v>60</v>
      </c>
      <c r="F14" s="70">
        <v>1200</v>
      </c>
      <c r="G14" s="71">
        <f t="shared" si="0"/>
        <v>1595.36</v>
      </c>
      <c r="H14" s="71">
        <f t="shared" si="1"/>
        <v>1.3294666666666666</v>
      </c>
      <c r="I14" s="71">
        <f>'SERVENTE-NORMAL'!$D$153</f>
        <v>4375.1914368932212</v>
      </c>
      <c r="J14" s="72">
        <f t="shared" si="2"/>
        <v>8.3333333333333339E-4</v>
      </c>
      <c r="K14" s="73">
        <f t="shared" si="3"/>
        <v>3.64</v>
      </c>
      <c r="L14" s="73">
        <f t="shared" si="4"/>
        <v>5807.11</v>
      </c>
    </row>
    <row r="15" spans="1:12" ht="15" customHeight="1" x14ac:dyDescent="0.2">
      <c r="A15" s="74" t="s">
        <v>369</v>
      </c>
      <c r="B15" s="74" t="s">
        <v>370</v>
      </c>
      <c r="C15" s="74">
        <v>206.2</v>
      </c>
      <c r="D15" s="74" t="s">
        <v>363</v>
      </c>
      <c r="E15" s="75">
        <v>30</v>
      </c>
      <c r="F15" s="75">
        <v>300</v>
      </c>
      <c r="G15" s="76">
        <f t="shared" si="0"/>
        <v>206.2</v>
      </c>
      <c r="H15" s="76">
        <f t="shared" si="1"/>
        <v>0.68733333333333324</v>
      </c>
      <c r="I15" s="76">
        <f>'SERVENTE-NORMAL'!$D$153</f>
        <v>4375.1914368932212</v>
      </c>
      <c r="J15" s="77">
        <f t="shared" si="2"/>
        <v>3.3333333333333335E-3</v>
      </c>
      <c r="K15" s="78">
        <f t="shared" si="3"/>
        <v>14.58</v>
      </c>
      <c r="L15" s="78">
        <f t="shared" si="4"/>
        <v>3006.39</v>
      </c>
    </row>
    <row r="16" spans="1:12" ht="15" customHeight="1" x14ac:dyDescent="0.2">
      <c r="A16" s="69" t="s">
        <v>371</v>
      </c>
      <c r="B16" s="69" t="s">
        <v>372</v>
      </c>
      <c r="C16" s="69">
        <v>694.84</v>
      </c>
      <c r="D16" s="69" t="s">
        <v>373</v>
      </c>
      <c r="E16" s="71">
        <f>1/3</f>
        <v>0.33333333333333331</v>
      </c>
      <c r="F16" s="70">
        <v>380</v>
      </c>
      <c r="G16" s="71">
        <f t="shared" si="0"/>
        <v>7.7204444444444444</v>
      </c>
      <c r="H16" s="71">
        <f t="shared" si="1"/>
        <v>2.0316959064327487E-2</v>
      </c>
      <c r="I16" s="71">
        <f>'SERVENTE-NORMAL'!$D$153</f>
        <v>4375.1914368932212</v>
      </c>
      <c r="J16" s="72">
        <f t="shared" si="2"/>
        <v>2.631578947368421E-3</v>
      </c>
      <c r="K16" s="73">
        <f t="shared" si="3"/>
        <v>11.51</v>
      </c>
      <c r="L16" s="73">
        <f t="shared" si="4"/>
        <v>88.86</v>
      </c>
    </row>
    <row r="17" spans="1:12" ht="15" customHeight="1" x14ac:dyDescent="0.2">
      <c r="A17" s="140" t="s">
        <v>374</v>
      </c>
      <c r="B17" s="74" t="s">
        <v>375</v>
      </c>
      <c r="C17" s="74">
        <v>864.13</v>
      </c>
      <c r="D17" s="74" t="s">
        <v>363</v>
      </c>
      <c r="E17" s="75">
        <v>30</v>
      </c>
      <c r="F17" s="75">
        <v>2700</v>
      </c>
      <c r="G17" s="76">
        <f t="shared" si="0"/>
        <v>864.13</v>
      </c>
      <c r="H17" s="76">
        <f t="shared" si="1"/>
        <v>0.32004814814814814</v>
      </c>
      <c r="I17" s="76">
        <f>'SERVENTE-NORMAL'!$D$153</f>
        <v>4375.1914368932212</v>
      </c>
      <c r="J17" s="77">
        <f t="shared" si="2"/>
        <v>3.7037037037037035E-4</v>
      </c>
      <c r="K17" s="78">
        <f t="shared" si="3"/>
        <v>1.62</v>
      </c>
      <c r="L17" s="78">
        <f t="shared" si="4"/>
        <v>1399.89</v>
      </c>
    </row>
    <row r="18" spans="1:12" ht="15" customHeight="1" x14ac:dyDescent="0.2">
      <c r="A18" s="111"/>
      <c r="B18" s="74" t="s">
        <v>376</v>
      </c>
      <c r="C18" s="74">
        <v>17656.32</v>
      </c>
      <c r="D18" s="74" t="s">
        <v>377</v>
      </c>
      <c r="E18" s="75">
        <v>4</v>
      </c>
      <c r="F18" s="75">
        <v>2700</v>
      </c>
      <c r="G18" s="76">
        <f t="shared" si="0"/>
        <v>2354.1759999999999</v>
      </c>
      <c r="H18" s="76">
        <f t="shared" si="1"/>
        <v>0.87191703703703705</v>
      </c>
      <c r="I18" s="76">
        <f>'SERVENTE-NORMAL'!$D$153</f>
        <v>4375.1914368932212</v>
      </c>
      <c r="J18" s="77">
        <f t="shared" si="2"/>
        <v>3.7037037037037035E-4</v>
      </c>
      <c r="K18" s="78">
        <f t="shared" si="3"/>
        <v>1.62</v>
      </c>
      <c r="L18" s="78">
        <f t="shared" si="4"/>
        <v>3813.76</v>
      </c>
    </row>
    <row r="19" spans="1:12" ht="15" customHeight="1" x14ac:dyDescent="0.2">
      <c r="A19" s="141" t="s">
        <v>378</v>
      </c>
      <c r="B19" s="82"/>
      <c r="C19" s="82"/>
      <c r="D19" s="82"/>
      <c r="E19" s="82"/>
      <c r="F19" s="82"/>
      <c r="G19" s="83"/>
      <c r="H19" s="79">
        <f>SUM(H11:H18)</f>
        <v>3.7108256109161788</v>
      </c>
      <c r="I19" s="144" t="s">
        <v>379</v>
      </c>
      <c r="J19" s="82"/>
      <c r="K19" s="82"/>
      <c r="L19" s="80">
        <f>SUM(L11:L18)</f>
        <v>16219.539999999999</v>
      </c>
    </row>
    <row r="20" spans="1:12" ht="15" customHeight="1" x14ac:dyDescent="0.2">
      <c r="A20" s="142" t="s">
        <v>380</v>
      </c>
      <c r="B20" s="92"/>
      <c r="C20" s="92"/>
      <c r="D20" s="92"/>
      <c r="E20" s="92"/>
      <c r="F20" s="92"/>
      <c r="G20" s="92"/>
      <c r="H20" s="92"/>
      <c r="I20" s="92"/>
      <c r="J20" s="92"/>
      <c r="K20" s="92"/>
      <c r="L20" s="92"/>
    </row>
  </sheetData>
  <mergeCells count="20">
    <mergeCell ref="A1:L1"/>
    <mergeCell ref="A3:K3"/>
    <mergeCell ref="A4:K4"/>
    <mergeCell ref="A5:K5"/>
    <mergeCell ref="A6:K6"/>
    <mergeCell ref="A20:L20"/>
    <mergeCell ref="F8:F10"/>
    <mergeCell ref="G8:G10"/>
    <mergeCell ref="H8:H10"/>
    <mergeCell ref="I8:L8"/>
    <mergeCell ref="I9:K9"/>
    <mergeCell ref="L9:L10"/>
    <mergeCell ref="I19:K19"/>
    <mergeCell ref="A8:A10"/>
    <mergeCell ref="B8:B10"/>
    <mergeCell ref="C8:C10"/>
    <mergeCell ref="D8:E9"/>
    <mergeCell ref="A11:A14"/>
    <mergeCell ref="A17:A18"/>
    <mergeCell ref="A19:G19"/>
  </mergeCells>
  <printOptions horizontalCentered="1" gridLines="1"/>
  <pageMargins left="0.7" right="0.7" top="0.75" bottom="0.75" header="0" footer="0"/>
  <pageSetup paperSize="9" fitToHeight="0" pageOrder="overThenDown" orientation="portrait" cellComments="atEnd"/>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7</vt:i4>
      </vt:variant>
    </vt:vector>
  </HeadingPairs>
  <TitlesOfParts>
    <vt:vector size="7" baseType="lpstr">
      <vt:lpstr>SERVENTE-NORMAL</vt:lpstr>
      <vt:lpstr>SERVENTE-INSALUBRIDADE-10%</vt:lpstr>
      <vt:lpstr>BDI</vt:lpstr>
      <vt:lpstr>EPI E UNIFORMES</vt:lpstr>
      <vt:lpstr>INSUMOS</vt:lpstr>
      <vt:lpstr>EQUIPAMENTOS</vt:lpstr>
      <vt:lpstr>PREÇO POR M²</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cogep</dc:creator>
  <cp:lastModifiedBy>Emilson</cp:lastModifiedBy>
  <cp:lastPrinted>2021-07-09T18:04:10Z</cp:lastPrinted>
  <dcterms:created xsi:type="dcterms:W3CDTF">2010-02-10T17:23:02Z</dcterms:created>
  <dcterms:modified xsi:type="dcterms:W3CDTF">2021-07-09T18:12:04Z</dcterms:modified>
</cp:coreProperties>
</file>